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gla-my.sharepoint.com/personal/celeste_felion_glasgow_ac_uk/Documents/publications/estro-colorsensor-paper/Enlighten/data-files/Exp 20201217 - Aptasensor Validation Day 3 v1/"/>
    </mc:Choice>
  </mc:AlternateContent>
  <xr:revisionPtr revIDLastSave="52" documentId="13_ncr:1_{4DADBDCD-41BE-4DA3-BC7C-F6809164F7D0}" xr6:coauthVersionLast="47" xr6:coauthVersionMax="47" xr10:uidLastSave="{CBCE211E-E481-4883-ACDF-AAC9CAA54B11}"/>
  <bookViews>
    <workbookView xWindow="-120" yWindow="-120" windowWidth="29040" windowHeight="15720" xr2:uid="{00000000-000D-0000-FFFF-FFFF00000000}"/>
  </bookViews>
  <sheets>
    <sheet name="Results Analysis - QCs" sheetId="5" r:id="rId1"/>
    <sheet name="Results Analysis - Combined" sheetId="4" r:id="rId2"/>
    <sheet name="Results Analysis" sheetId="3" r:id="rId3"/>
    <sheet name="Plate Layout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2" i="3" l="1"/>
  <c r="C93" i="3"/>
  <c r="C32" i="4"/>
  <c r="AM28" i="4" l="1"/>
  <c r="AM29" i="4"/>
  <c r="AM27" i="4"/>
  <c r="AJ28" i="4"/>
  <c r="AJ29" i="4"/>
  <c r="AJ27" i="4"/>
  <c r="U49" i="5" l="1"/>
  <c r="I55" i="5"/>
  <c r="I53" i="5"/>
  <c r="I49" i="5"/>
  <c r="U13" i="5"/>
  <c r="AA2" i="4"/>
  <c r="U22" i="5"/>
  <c r="U31" i="5"/>
  <c r="U40" i="5"/>
  <c r="V22" i="5"/>
  <c r="V31" i="5"/>
  <c r="V40" i="5"/>
  <c r="V49" i="5"/>
  <c r="V13" i="5"/>
  <c r="L13" i="5"/>
  <c r="I13" i="5"/>
  <c r="H13" i="5"/>
  <c r="J14" i="5"/>
  <c r="J15" i="5"/>
  <c r="J16" i="5"/>
  <c r="J17" i="5"/>
  <c r="J18" i="5"/>
  <c r="K18" i="5" s="1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13" i="5"/>
  <c r="K13" i="5" s="1"/>
  <c r="O16" i="5"/>
  <c r="S16" i="5" s="1"/>
  <c r="O28" i="5"/>
  <c r="Q28" i="5" s="1"/>
  <c r="O32" i="5"/>
  <c r="Q32" i="5" s="1"/>
  <c r="O40" i="5"/>
  <c r="Q40" i="5" s="1"/>
  <c r="O41" i="5"/>
  <c r="Q41" i="5" s="1"/>
  <c r="O48" i="5"/>
  <c r="Q48" i="5" s="1"/>
  <c r="O49" i="5"/>
  <c r="Q49" i="5" s="1"/>
  <c r="O56" i="5"/>
  <c r="Q56" i="5" s="1"/>
  <c r="O57" i="5"/>
  <c r="Q57" i="5" s="1"/>
  <c r="I57" i="5"/>
  <c r="I56" i="5"/>
  <c r="M56" i="5" s="1"/>
  <c r="M55" i="5"/>
  <c r="I54" i="5"/>
  <c r="M54" i="5" s="1"/>
  <c r="O53" i="5"/>
  <c r="Q53" i="5" s="1"/>
  <c r="I52" i="5"/>
  <c r="M52" i="5" s="1"/>
  <c r="I51" i="5"/>
  <c r="M51" i="5" s="1"/>
  <c r="I50" i="5"/>
  <c r="K50" i="5" s="1"/>
  <c r="I48" i="5"/>
  <c r="M48" i="5" s="1"/>
  <c r="I47" i="5"/>
  <c r="M47" i="5" s="1"/>
  <c r="I46" i="5"/>
  <c r="K46" i="5" s="1"/>
  <c r="I45" i="5"/>
  <c r="O45" i="5" s="1"/>
  <c r="Q45" i="5" s="1"/>
  <c r="I44" i="5"/>
  <c r="M44" i="5" s="1"/>
  <c r="I43" i="5"/>
  <c r="M43" i="5" s="1"/>
  <c r="I42" i="5"/>
  <c r="M42" i="5" s="1"/>
  <c r="I41" i="5"/>
  <c r="I40" i="5"/>
  <c r="M40" i="5" s="1"/>
  <c r="I39" i="5"/>
  <c r="M39" i="5" s="1"/>
  <c r="I38" i="5"/>
  <c r="M38" i="5" s="1"/>
  <c r="I37" i="5"/>
  <c r="O37" i="5" s="1"/>
  <c r="Q37" i="5" s="1"/>
  <c r="I36" i="5"/>
  <c r="M36" i="5" s="1"/>
  <c r="I35" i="5"/>
  <c r="M35" i="5" s="1"/>
  <c r="I34" i="5"/>
  <c r="K34" i="5" s="1"/>
  <c r="I33" i="5"/>
  <c r="I32" i="5"/>
  <c r="M32" i="5" s="1"/>
  <c r="I31" i="5"/>
  <c r="M31" i="5" s="1"/>
  <c r="I30" i="5"/>
  <c r="K30" i="5" s="1"/>
  <c r="I29" i="5"/>
  <c r="I28" i="5"/>
  <c r="M28" i="5" s="1"/>
  <c r="I27" i="5"/>
  <c r="M27" i="5" s="1"/>
  <c r="I26" i="5"/>
  <c r="M26" i="5" s="1"/>
  <c r="I25" i="5"/>
  <c r="I24" i="5"/>
  <c r="M24" i="5" s="1"/>
  <c r="I23" i="5"/>
  <c r="M23" i="5" s="1"/>
  <c r="I22" i="5"/>
  <c r="M22" i="5" s="1"/>
  <c r="I20" i="5"/>
  <c r="M20" i="5" s="1"/>
  <c r="I21" i="5"/>
  <c r="I19" i="5"/>
  <c r="M19" i="5" s="1"/>
  <c r="I17" i="5"/>
  <c r="M17" i="5" s="1"/>
  <c r="I18" i="5"/>
  <c r="I16" i="5"/>
  <c r="M16" i="5" s="1"/>
  <c r="I14" i="5"/>
  <c r="I15" i="5"/>
  <c r="M15" i="5" s="1"/>
  <c r="O13" i="5"/>
  <c r="S13" i="5" s="1"/>
  <c r="E85" i="3"/>
  <c r="E77" i="3"/>
  <c r="M21" i="5" l="1"/>
  <c r="O24" i="5"/>
  <c r="Q24" i="5" s="1"/>
  <c r="K28" i="5"/>
  <c r="K56" i="5"/>
  <c r="K52" i="5"/>
  <c r="K48" i="5"/>
  <c r="K40" i="5"/>
  <c r="K36" i="5"/>
  <c r="K32" i="5"/>
  <c r="K24" i="5"/>
  <c r="K20" i="5"/>
  <c r="K16" i="5"/>
  <c r="K14" i="5"/>
  <c r="M18" i="5"/>
  <c r="M25" i="5"/>
  <c r="M29" i="5"/>
  <c r="M33" i="5"/>
  <c r="M37" i="5"/>
  <c r="M41" i="5"/>
  <c r="M45" i="5"/>
  <c r="M49" i="5"/>
  <c r="M53" i="5"/>
  <c r="M57" i="5"/>
  <c r="O52" i="5"/>
  <c r="Q52" i="5" s="1"/>
  <c r="O44" i="5"/>
  <c r="Q44" i="5" s="1"/>
  <c r="O36" i="5"/>
  <c r="Q36" i="5" s="1"/>
  <c r="O20" i="5"/>
  <c r="Q20" i="5" s="1"/>
  <c r="K44" i="5"/>
  <c r="O54" i="5"/>
  <c r="O50" i="5"/>
  <c r="O46" i="5"/>
  <c r="O42" i="5"/>
  <c r="O38" i="5"/>
  <c r="O34" i="5"/>
  <c r="O30" i="5"/>
  <c r="O26" i="5"/>
  <c r="O22" i="5"/>
  <c r="O18" i="5"/>
  <c r="O14" i="5"/>
  <c r="K15" i="5"/>
  <c r="K26" i="5"/>
  <c r="K31" i="5"/>
  <c r="K42" i="5"/>
  <c r="K47" i="5"/>
  <c r="O33" i="5"/>
  <c r="O29" i="5"/>
  <c r="O25" i="5"/>
  <c r="O21" i="5"/>
  <c r="O17" i="5"/>
  <c r="Q13" i="5"/>
  <c r="K22" i="5"/>
  <c r="K27" i="5"/>
  <c r="K38" i="5"/>
  <c r="K43" i="5"/>
  <c r="K54" i="5"/>
  <c r="K57" i="5"/>
  <c r="K53" i="5"/>
  <c r="K49" i="5"/>
  <c r="K45" i="5"/>
  <c r="K41" i="5"/>
  <c r="K37" i="5"/>
  <c r="K33" i="5"/>
  <c r="K29" i="5"/>
  <c r="K25" i="5"/>
  <c r="L22" i="5" s="1"/>
  <c r="K21" i="5"/>
  <c r="K17" i="5"/>
  <c r="S57" i="5"/>
  <c r="S53" i="5"/>
  <c r="S49" i="5"/>
  <c r="S45" i="5"/>
  <c r="S41" i="5"/>
  <c r="S37" i="5"/>
  <c r="S56" i="5"/>
  <c r="S48" i="5"/>
  <c r="S44" i="5"/>
  <c r="S40" i="5"/>
  <c r="S36" i="5"/>
  <c r="S32" i="5"/>
  <c r="S28" i="5"/>
  <c r="S24" i="5"/>
  <c r="S20" i="5"/>
  <c r="M14" i="5"/>
  <c r="M30" i="5"/>
  <c r="N22" i="5" s="1"/>
  <c r="M34" i="5"/>
  <c r="N31" i="5" s="1"/>
  <c r="M46" i="5"/>
  <c r="M50" i="5"/>
  <c r="N49" i="5" s="1"/>
  <c r="M13" i="5"/>
  <c r="K23" i="5"/>
  <c r="K39" i="5"/>
  <c r="K55" i="5"/>
  <c r="O55" i="5"/>
  <c r="O51" i="5"/>
  <c r="O47" i="5"/>
  <c r="O43" i="5"/>
  <c r="O39" i="5"/>
  <c r="O35" i="5"/>
  <c r="O31" i="5"/>
  <c r="O27" i="5"/>
  <c r="O23" i="5"/>
  <c r="O19" i="5"/>
  <c r="O15" i="5"/>
  <c r="Q16" i="5"/>
  <c r="K19" i="5"/>
  <c r="K35" i="5"/>
  <c r="K51" i="5"/>
  <c r="S52" i="5" l="1"/>
  <c r="L40" i="5"/>
  <c r="L31" i="5"/>
  <c r="L49" i="5"/>
  <c r="N40" i="5"/>
  <c r="S31" i="5"/>
  <c r="Q31" i="5"/>
  <c r="Q34" i="5"/>
  <c r="S34" i="5"/>
  <c r="S35" i="5"/>
  <c r="Q35" i="5"/>
  <c r="Q17" i="5"/>
  <c r="S17" i="5"/>
  <c r="Q33" i="5"/>
  <c r="S33" i="5"/>
  <c r="Q22" i="5"/>
  <c r="S22" i="5"/>
  <c r="Q54" i="5"/>
  <c r="S54" i="5"/>
  <c r="T49" i="5" s="1"/>
  <c r="S23" i="5"/>
  <c r="Q23" i="5"/>
  <c r="S39" i="5"/>
  <c r="Q39" i="5"/>
  <c r="S55" i="5"/>
  <c r="Q55" i="5"/>
  <c r="Q21" i="5"/>
  <c r="S21" i="5"/>
  <c r="Q26" i="5"/>
  <c r="S26" i="5"/>
  <c r="Q42" i="5"/>
  <c r="S42" i="5"/>
  <c r="T40" i="5" s="1"/>
  <c r="S15" i="5"/>
  <c r="Q15" i="5"/>
  <c r="S47" i="5"/>
  <c r="Q47" i="5"/>
  <c r="Q29" i="5"/>
  <c r="S29" i="5"/>
  <c r="Q18" i="5"/>
  <c r="S18" i="5"/>
  <c r="Q50" i="5"/>
  <c r="S50" i="5"/>
  <c r="S19" i="5"/>
  <c r="Q19" i="5"/>
  <c r="S51" i="5"/>
  <c r="Q51" i="5"/>
  <c r="Q38" i="5"/>
  <c r="S38" i="5"/>
  <c r="S27" i="5"/>
  <c r="Q27" i="5"/>
  <c r="S43" i="5"/>
  <c r="Q43" i="5"/>
  <c r="N13" i="5"/>
  <c r="Q25" i="5"/>
  <c r="S25" i="5"/>
  <c r="S14" i="5"/>
  <c r="Q14" i="5"/>
  <c r="Q30" i="5"/>
  <c r="S30" i="5"/>
  <c r="Q46" i="5"/>
  <c r="S46" i="5"/>
  <c r="H22" i="5"/>
  <c r="H31" i="5"/>
  <c r="H40" i="5"/>
  <c r="H49" i="5"/>
  <c r="C16" i="5"/>
  <c r="D16" i="5"/>
  <c r="E16" i="5"/>
  <c r="C19" i="5"/>
  <c r="D19" i="5"/>
  <c r="C22" i="5"/>
  <c r="D22" i="5"/>
  <c r="E22" i="5" s="1"/>
  <c r="C25" i="5"/>
  <c r="D25" i="5"/>
  <c r="C28" i="5"/>
  <c r="D28" i="5"/>
  <c r="E28" i="5" s="1"/>
  <c r="C31" i="5"/>
  <c r="D31" i="5"/>
  <c r="C34" i="5"/>
  <c r="D34" i="5"/>
  <c r="C37" i="5"/>
  <c r="D37" i="5"/>
  <c r="E37" i="5"/>
  <c r="C40" i="5"/>
  <c r="E40" i="5" s="1"/>
  <c r="D40" i="5"/>
  <c r="C43" i="5"/>
  <c r="D43" i="5"/>
  <c r="C46" i="5"/>
  <c r="D46" i="5"/>
  <c r="E46" i="5" s="1"/>
  <c r="C49" i="5"/>
  <c r="D49" i="5"/>
  <c r="C52" i="5"/>
  <c r="D52" i="5"/>
  <c r="E52" i="5" s="1"/>
  <c r="C55" i="5"/>
  <c r="D55" i="5"/>
  <c r="D13" i="5"/>
  <c r="E13" i="5" s="1"/>
  <c r="C13" i="5"/>
  <c r="E49" i="5" l="1"/>
  <c r="E43" i="5"/>
  <c r="G40" i="5" s="1"/>
  <c r="R13" i="5"/>
  <c r="E25" i="5"/>
  <c r="G22" i="5" s="1"/>
  <c r="G49" i="5"/>
  <c r="R40" i="5"/>
  <c r="E55" i="5"/>
  <c r="F49" i="5" s="1"/>
  <c r="E31" i="5"/>
  <c r="T22" i="5"/>
  <c r="R31" i="5"/>
  <c r="E34" i="5"/>
  <c r="E19" i="5"/>
  <c r="G13" i="5" s="1"/>
  <c r="T13" i="5"/>
  <c r="R49" i="5"/>
  <c r="R22" i="5"/>
  <c r="T31" i="5"/>
  <c r="C85" i="3"/>
  <c r="C83" i="3"/>
  <c r="F74" i="3"/>
  <c r="C38" i="4"/>
  <c r="C37" i="4"/>
  <c r="C36" i="4"/>
  <c r="C35" i="4"/>
  <c r="C34" i="4"/>
  <c r="C33" i="4"/>
  <c r="B37" i="4"/>
  <c r="B36" i="4"/>
  <c r="B35" i="4"/>
  <c r="B34" i="4"/>
  <c r="B33" i="4"/>
  <c r="B32" i="4"/>
  <c r="F22" i="5" l="1"/>
  <c r="F40" i="5"/>
  <c r="F31" i="5"/>
  <c r="G31" i="5"/>
  <c r="F13" i="5"/>
  <c r="D92" i="3"/>
  <c r="D94" i="3"/>
  <c r="C94" i="3"/>
  <c r="D74" i="3" l="1"/>
  <c r="G74" i="3"/>
  <c r="B91" i="3"/>
  <c r="E92" i="3" l="1"/>
  <c r="F92" i="3" s="1"/>
  <c r="AJ30" i="4" l="1"/>
  <c r="AM31" i="4"/>
  <c r="AJ31" i="4"/>
  <c r="AG28" i="4"/>
  <c r="AG29" i="4"/>
  <c r="AG27" i="4"/>
  <c r="AD28" i="4"/>
  <c r="AD29" i="4"/>
  <c r="AD31" i="4" s="1"/>
  <c r="AD27" i="4"/>
  <c r="AG31" i="4"/>
  <c r="AG30" i="4"/>
  <c r="AD30" i="4"/>
  <c r="V77" i="3"/>
  <c r="V78" i="3"/>
  <c r="AG3" i="4"/>
  <c r="AG4" i="4"/>
  <c r="AG5" i="4"/>
  <c r="AG6" i="4"/>
  <c r="AG7" i="4"/>
  <c r="AG8" i="4"/>
  <c r="AG9" i="4"/>
  <c r="AG10" i="4"/>
  <c r="AG11" i="4"/>
  <c r="AG12" i="4"/>
  <c r="AG13" i="4"/>
  <c r="AG14" i="4"/>
  <c r="AG15" i="4"/>
  <c r="AG16" i="4"/>
  <c r="AG2" i="4"/>
  <c r="AH2" i="4" s="1"/>
  <c r="Y11" i="4"/>
  <c r="Z11" i="4"/>
  <c r="AC11" i="4"/>
  <c r="AD11" i="4"/>
  <c r="AH11" i="4"/>
  <c r="AH12" i="4"/>
  <c r="AH13" i="4"/>
  <c r="Y14" i="4"/>
  <c r="Z14" i="4"/>
  <c r="AA14" i="4" s="1"/>
  <c r="AC14" i="4"/>
  <c r="AD14" i="4"/>
  <c r="AE14" i="4" s="1"/>
  <c r="AH14" i="4"/>
  <c r="AH15" i="4"/>
  <c r="AH16" i="4"/>
  <c r="I2" i="4"/>
  <c r="I27" i="4"/>
  <c r="I26" i="4"/>
  <c r="G27" i="4"/>
  <c r="G26" i="4"/>
  <c r="G2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8" i="4"/>
  <c r="AA39" i="4"/>
  <c r="X39" i="4"/>
  <c r="AA38" i="4"/>
  <c r="X38" i="4"/>
  <c r="AA31" i="4"/>
  <c r="X31" i="4"/>
  <c r="F25" i="4"/>
  <c r="AA30" i="4"/>
  <c r="X30" i="4"/>
  <c r="F24" i="4"/>
  <c r="F23" i="4"/>
  <c r="F22" i="4"/>
  <c r="F21" i="4"/>
  <c r="F20" i="4"/>
  <c r="F19" i="4"/>
  <c r="X24" i="4"/>
  <c r="F18" i="4"/>
  <c r="X23" i="4"/>
  <c r="F17" i="4"/>
  <c r="G17" i="4" s="1"/>
  <c r="J17" i="4" s="1"/>
  <c r="F16" i="4"/>
  <c r="F15" i="4"/>
  <c r="F14" i="4"/>
  <c r="F13" i="4"/>
  <c r="F12" i="4"/>
  <c r="F11" i="4"/>
  <c r="AH10" i="4"/>
  <c r="F10" i="4"/>
  <c r="AH9" i="4"/>
  <c r="F9" i="4"/>
  <c r="AH8" i="4"/>
  <c r="AD8" i="4"/>
  <c r="AC8" i="4"/>
  <c r="Z8" i="4"/>
  <c r="Y8" i="4"/>
  <c r="F8" i="4"/>
  <c r="H8" i="4" s="1"/>
  <c r="AH7" i="4"/>
  <c r="F7" i="4"/>
  <c r="AH6" i="4"/>
  <c r="F6" i="4"/>
  <c r="AH5" i="4"/>
  <c r="AD5" i="4"/>
  <c r="AC5" i="4"/>
  <c r="Z5" i="4"/>
  <c r="AA5" i="4" s="1"/>
  <c r="Y5" i="4"/>
  <c r="F5" i="4"/>
  <c r="AH4" i="4"/>
  <c r="AH3" i="4"/>
  <c r="G3" i="4"/>
  <c r="AD2" i="4"/>
  <c r="AE2" i="4" s="1"/>
  <c r="AC2" i="4"/>
  <c r="Z2" i="4"/>
  <c r="Y2" i="4"/>
  <c r="AM30" i="4" l="1"/>
  <c r="AE11" i="4"/>
  <c r="AE8" i="4"/>
  <c r="AE5" i="4"/>
  <c r="AA8" i="4"/>
  <c r="AA11" i="4"/>
  <c r="AI11" i="4"/>
  <c r="AI8" i="4"/>
  <c r="AI5" i="4"/>
  <c r="AI14" i="4"/>
  <c r="AI2" i="4"/>
  <c r="G14" i="4"/>
  <c r="J14" i="4" s="1"/>
  <c r="G20" i="4"/>
  <c r="J20" i="4" s="1"/>
  <c r="H20" i="4"/>
  <c r="G5" i="4"/>
  <c r="J5" i="4" s="1"/>
  <c r="H11" i="4"/>
  <c r="H5" i="4"/>
  <c r="I3" i="4" s="1"/>
  <c r="H14" i="4"/>
  <c r="I14" i="4" s="1"/>
  <c r="G23" i="4"/>
  <c r="J23" i="4" s="1"/>
  <c r="I20" i="4"/>
  <c r="H17" i="4"/>
  <c r="I17" i="4" s="1"/>
  <c r="G8" i="4"/>
  <c r="J8" i="4" s="1"/>
  <c r="H23" i="4"/>
  <c r="I23" i="4" s="1"/>
  <c r="G11" i="4"/>
  <c r="J11" i="4" s="1"/>
  <c r="I5" i="4" l="1"/>
  <c r="I8" i="4"/>
  <c r="I11" i="4"/>
  <c r="B89" i="3" l="1"/>
  <c r="B88" i="3"/>
  <c r="B87" i="3"/>
  <c r="B86" i="3"/>
  <c r="B85" i="3"/>
  <c r="B82" i="3"/>
  <c r="B81" i="3"/>
  <c r="B80" i="3"/>
  <c r="B79" i="3"/>
  <c r="B78" i="3"/>
  <c r="B77" i="3"/>
  <c r="H74" i="3"/>
  <c r="E74" i="3"/>
  <c r="C74" i="3"/>
  <c r="B74" i="3"/>
  <c r="I73" i="3"/>
  <c r="H73" i="3"/>
  <c r="G73" i="3"/>
  <c r="F73" i="3"/>
  <c r="I72" i="3"/>
  <c r="H72" i="3"/>
  <c r="G72" i="3"/>
  <c r="F72" i="3"/>
  <c r="D82" i="3" s="1"/>
  <c r="I71" i="3"/>
  <c r="H71" i="3"/>
  <c r="G71" i="3"/>
  <c r="F71" i="3"/>
  <c r="D81" i="3" s="1"/>
  <c r="I70" i="3"/>
  <c r="H70" i="3"/>
  <c r="G70" i="3"/>
  <c r="F70" i="3"/>
  <c r="I69" i="3"/>
  <c r="H69" i="3"/>
  <c r="G69" i="3"/>
  <c r="F69" i="3"/>
  <c r="D79" i="3" s="1"/>
  <c r="I68" i="3"/>
  <c r="H68" i="3"/>
  <c r="G68" i="3"/>
  <c r="F68" i="3"/>
  <c r="D78" i="3" s="1"/>
  <c r="I67" i="3"/>
  <c r="H67" i="3"/>
  <c r="G67" i="3"/>
  <c r="F67" i="3"/>
  <c r="D77" i="3" s="1"/>
  <c r="C80" i="3" l="1"/>
  <c r="E80" i="3" s="1"/>
  <c r="D80" i="3"/>
  <c r="D83" i="3"/>
  <c r="C78" i="3"/>
  <c r="E78" i="3" s="1"/>
  <c r="D87" i="3"/>
  <c r="C87" i="3"/>
  <c r="E87" i="3" s="1"/>
  <c r="D89" i="3"/>
  <c r="C89" i="3"/>
  <c r="E89" i="3" s="1"/>
  <c r="C82" i="3"/>
  <c r="E82" i="3" s="1"/>
  <c r="G82" i="3" s="1"/>
  <c r="H82" i="3" s="1"/>
  <c r="G85" i="3"/>
  <c r="H85" i="3" s="1"/>
  <c r="D85" i="3"/>
  <c r="D86" i="3"/>
  <c r="C86" i="3"/>
  <c r="C88" i="3"/>
  <c r="D88" i="3"/>
  <c r="D93" i="3"/>
  <c r="E93" i="3"/>
  <c r="F93" i="3" s="1"/>
  <c r="E88" i="3"/>
  <c r="G88" i="3" s="1"/>
  <c r="H88" i="3" s="1"/>
  <c r="C77" i="3"/>
  <c r="C79" i="3"/>
  <c r="E79" i="3" s="1"/>
  <c r="G79" i="3" s="1"/>
  <c r="H79" i="3" s="1"/>
  <c r="C81" i="3"/>
  <c r="E81" i="3" s="1"/>
  <c r="G81" i="3" s="1"/>
  <c r="H81" i="3" s="1"/>
  <c r="G89" i="3"/>
  <c r="H89" i="3" s="1"/>
  <c r="F89" i="3"/>
  <c r="F79" i="3"/>
  <c r="G80" i="3"/>
  <c r="H80" i="3" s="1"/>
  <c r="F80" i="3"/>
  <c r="F88" i="3"/>
  <c r="G77" i="3"/>
  <c r="H77" i="3" s="1"/>
  <c r="F77" i="3"/>
  <c r="G78" i="3"/>
  <c r="H78" i="3" s="1"/>
  <c r="F78" i="3"/>
  <c r="F87" i="3" l="1"/>
  <c r="G87" i="3"/>
  <c r="H87" i="3" s="1"/>
  <c r="V81" i="3"/>
  <c r="V80" i="3"/>
  <c r="F82" i="3"/>
  <c r="F85" i="3"/>
  <c r="F81" i="3"/>
  <c r="E86" i="3"/>
  <c r="F86" i="3" s="1"/>
  <c r="G86" i="3" l="1"/>
  <c r="H8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Pink Lab Local user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 xml:space="preserve">Tecan.At.Common, 3.8.2.0
Tecan.At.Common.DocumentManagement, 3.8.2.0
Tecan.At.Common.DocumentManagement.Reader, 3.5.2.0
Tecan.At.Common.MCS, 3.8.2.0
Tecan.At.Common.Results, 3.8.2.0
Tecan.At.Common.UI, 3.8.2.0
Tecan.At.Communication.Common, 3.8.2.0
Tecan.At.Communication.Port.IP, 3.8.2.0
Tecan.At.Communication.Port.RS232, 3.8.2.0
Tecan.At.Communication.Port.SIM.Common, 3.8.2.0
Tecan.At.Communication.Port.USB, 3.8.2.0
Tecan.At.Communication.Server, 3.8.2.0
Tecan.At.Communication.SIM.AMR, 3.5.2.0
Tecan.At.Communication.SIM.AMRPlus, 3.5.2.0
Tecan.At.Communication.SIM.Connect, 3.8.2.0
Tecan.At.Communication.SIM.GeniosUltra, 3.5.2.0
Tecan.At.Communication.SIM.Safire3, 3.5.2.0
Tecan.At.Communication.SIM.Safire3Pro, 3.5.2.0
Tecan.At.Communication.SIM.SunriseMini, 3.5.2.0
Tecan.At.Instrument.Common, 3.8.2.0
Tecan.At.Instrument.Common.GCM, 3.8.2.0
Tecan.At.Instrument.Common.Reader, 3.5.2.0
Tecan.At.Instrument.Common.Stacker, 3.8.2.0
Tecan.At.Instrument.Gas.GCM, 3.8.2.0
Tecan.At.Instrument.GCM.Server, 3.8.2.0
Tecan.At.Instrument.Reader.AMR, 3.5.2.0
Tecan.At.Instrument.Reader.AMRPlus, 3.5.2.0
Tecan.At.Instrument.Reader.GeniosUltra, 3.5.2.0
Tecan.At.Instrument.Reader.Safire3, 3.5.2.0
Tecan.At.Instrument.Reader.Safire3Pro, 3.5.2.0
Tecan.At.Instrument.Reader.SunriseMini, 3.5.2.0
Tecan.At.Instrument.Server, 3.8.2.0
Tecan.At.Instrument.Stacker.Connect, 3.8.2.0
Tecan.At.Instrument.Stacker.Server, 3.8.2.0
Tecan.At.Measurement.BuiltInTest.Common, 3.5.2.0
Tecan.At.Measurement.Common, 3.5.2.0
Tecan.At.Measurement.Server, 3.5.2.0
Tecan.At.XFluor, 1.12.4.0
Tecan.At.XFluor.Connect.Reader, 1.12.4.0
Tecan.At.XFluor.Core, 1.12.4.0
Tecan.At.XFluor.Device, 1.12.4.0
Tecan.At.XFluor.Device.AMR, 1.12.4.0
Tecan.At.XFluor.Device.AMRPlus, 1.12.4.0
Tecan.At.XFluor.Device.GeniosUltra, 1.12.4.0
Tecan.At.XFluor.Device.Reader, 1.12.4.0
Tecan.At.XFluor.Device.Safire3, 1.12.4.0
Tecan.At.XFluor.Device.Safire3Pro, 1.12.4.0
Tecan.At.XFluor.Device.SunriseMini, 1.12.4.0
Tecan.At.XFluor.ExcelOutput, 1.12.4.0
Tecan.At.XFluor.NanoQuant, 1.12.4.0
Tecan.At.XFluor.ReaderEditor, 1.12.4.0
</t>
        </r>
      </text>
    </comment>
    <comment ref="E3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 xml:space="preserve">EHC, V_3.37_07/12_Infinite (Jul 20 2012/13.56.47)
MTP, V_3.37_07/12_Infinite (Jul 20 2012/13.56.47)
HCP, V_2.02_05/06_HCP (May 23 2006/14.05.27)
LUM, V_2.00_04/06_LUMINESCENCE (Apr  5 2006/08.57.29)
MEM, V_3.00_09/11_MCR (Sep 27 2011/15.05.45)
MEX, V_3.00_09/11_MCR (Sep 27 2011/15.05.10)
ZSCAN, V_3.37_07/12_Infinite (Jul 20 2012/13.56.47)
</t>
        </r>
      </text>
    </comment>
  </commentList>
</comments>
</file>

<file path=xl/sharedStrings.xml><?xml version="1.0" encoding="utf-8"?>
<sst xmlns="http://schemas.openxmlformats.org/spreadsheetml/2006/main" count="404" uniqueCount="228">
  <si>
    <t>Application: Tecan i-control</t>
  </si>
  <si>
    <t>Tecan i-control , 1.12.4.0</t>
  </si>
  <si>
    <t>Device: infinite 200Pro</t>
  </si>
  <si>
    <t>Serial number: 1412000830</t>
  </si>
  <si>
    <t>Serial number of connected stacker:</t>
  </si>
  <si>
    <t>Firmware: V_3.37_07/12_Infinite (Jul 20 2012/13.56.47)</t>
  </si>
  <si>
    <t>MAI, V_3.37_07/12_Infinite (Jul 20 2012/13.56.47)</t>
  </si>
  <si>
    <t>Date:</t>
  </si>
  <si>
    <t>17/12/2020</t>
  </si>
  <si>
    <t>Time:</t>
  </si>
  <si>
    <t>System</t>
  </si>
  <si>
    <t>ICONTROL-PC</t>
  </si>
  <si>
    <t>User</t>
  </si>
  <si>
    <t>ICONTROL-PC\pinklab</t>
  </si>
  <si>
    <t>Plate</t>
  </si>
  <si>
    <t>Greiner 96 Flat Bottom Transparent Polystyrene Cat. No.:655101/655161/655192 [MAG_GRE96ft.pdfx]</t>
  </si>
  <si>
    <t>Plate-ID (Stacker)</t>
  </si>
  <si>
    <t>Label: Label2</t>
  </si>
  <si>
    <t>Mode</t>
  </si>
  <si>
    <t>Absorbance</t>
  </si>
  <si>
    <t>Wavelength</t>
  </si>
  <si>
    <t>nm</t>
  </si>
  <si>
    <t>Bandwidth</t>
  </si>
  <si>
    <t>Number of Flashes</t>
  </si>
  <si>
    <t>Settle Time</t>
  </si>
  <si>
    <t>ms</t>
  </si>
  <si>
    <t>Part of Plate</t>
  </si>
  <si>
    <t>A9-G12; H4-H6; H8-H11</t>
  </si>
  <si>
    <t>Start Time: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</si>
  <si>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</si>
  <si>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</si>
  <si>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</si>
  <si>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</si>
  <si>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</si>
  <si>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</si>
  <si>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</si>
  <si>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</si>
  <si>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</si>
  <si>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</si>
  <si>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Label: Label1</t>
  </si>
  <si>
    <t>E1</t>
  </si>
  <si>
    <t>E3</t>
  </si>
  <si>
    <t>11:50:20</t>
  </si>
  <si>
    <t>17/12/2020 11:50:20</t>
  </si>
  <si>
    <t>Temperature: 21.8 °C</t>
  </si>
  <si>
    <t>17/12/2020 11:50:52</t>
  </si>
  <si>
    <t>17/12/2020 11:50:58</t>
  </si>
  <si>
    <t>Temperature: 21.7 °C</t>
  </si>
  <si>
    <t>17/12/2020 11:51:30</t>
  </si>
  <si>
    <t>R^2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</si>
  <si>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</si>
  <si>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</si>
  <si>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</si>
  <si>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</si>
  <si>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</si>
  <si>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</si>
  <si>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</si>
  <si>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</si>
  <si>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</si>
  <si>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</si>
  <si>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</si>
  <si>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</si>
  <si>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</si>
  <si>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</si>
  <si>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</si>
  <si>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</si>
  <si>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</si>
  <si>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</si>
  <si>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</si>
  <si>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</si>
  <si>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</si>
  <si>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</si>
  <si>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</si>
  <si>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</si>
  <si>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[E2]</t>
  </si>
  <si>
    <t>Log10[E2]</t>
  </si>
  <si>
    <t>Avg.R</t>
  </si>
  <si>
    <t>Sd.R</t>
  </si>
  <si>
    <t>xi</t>
  </si>
  <si>
    <t>%Rec</t>
  </si>
  <si>
    <t>10^xi</t>
  </si>
  <si>
    <t>Sample Name</t>
  </si>
  <si>
    <t>Avg</t>
  </si>
  <si>
    <t>Stdev</t>
  </si>
  <si>
    <t>%RSD</t>
  </si>
  <si>
    <t>Avg Calc Conc</t>
  </si>
  <si>
    <t>SD Calc Conc</t>
  </si>
  <si>
    <t>%Diff</t>
  </si>
  <si>
    <t>Avg %Diff</t>
  </si>
  <si>
    <t>A=</t>
  </si>
  <si>
    <t>LOD=</t>
  </si>
  <si>
    <t>(3.3*Sb)/B</t>
  </si>
  <si>
    <t>(3.3*S0)/B</t>
  </si>
  <si>
    <t>QC High_d1</t>
  </si>
  <si>
    <t>B=</t>
  </si>
  <si>
    <t>LOQ=</t>
  </si>
  <si>
    <t>(10*Sb)/B</t>
  </si>
  <si>
    <t>(10*S0)/B</t>
  </si>
  <si>
    <t>QC High_d2</t>
  </si>
  <si>
    <t>Std</t>
  </si>
  <si>
    <t>%CV Calc Conc</t>
  </si>
  <si>
    <t>% Diff Calc Conc</t>
  </si>
  <si>
    <t>QC High_d3</t>
  </si>
  <si>
    <t>S0_r1</t>
  </si>
  <si>
    <t>Blank</t>
  </si>
  <si>
    <t>QC Low_d1</t>
  </si>
  <si>
    <t>S0_r2</t>
  </si>
  <si>
    <t>QC Low_d2</t>
  </si>
  <si>
    <t>S0_r3</t>
  </si>
  <si>
    <t>QC Low_d3</t>
  </si>
  <si>
    <t>S1_r1</t>
  </si>
  <si>
    <t>QC Mid_d1</t>
  </si>
  <si>
    <t>S1_r2</t>
  </si>
  <si>
    <t>QC Mid_d2</t>
  </si>
  <si>
    <t>S1_r3</t>
  </si>
  <si>
    <t>QC Mid_d3</t>
  </si>
  <si>
    <t>S2_r1</t>
  </si>
  <si>
    <t>S2_r2</t>
  </si>
  <si>
    <t>S2_r3</t>
  </si>
  <si>
    <t>S3_r1</t>
  </si>
  <si>
    <t>Day 1</t>
  </si>
  <si>
    <t>S3_r2</t>
  </si>
  <si>
    <t>Day 2</t>
  </si>
  <si>
    <t>S3_r3</t>
  </si>
  <si>
    <t>Day 3</t>
  </si>
  <si>
    <t>S4_r1</t>
  </si>
  <si>
    <t>S4_r2</t>
  </si>
  <si>
    <t>S4_r3</t>
  </si>
  <si>
    <t>S5_r1</t>
  </si>
  <si>
    <t>LOD</t>
  </si>
  <si>
    <t>LOQ</t>
  </si>
  <si>
    <t>&lt;&lt; 3.3*Sb/B</t>
  </si>
  <si>
    <t>S5_r2</t>
  </si>
  <si>
    <t>S5_r3</t>
  </si>
  <si>
    <t>S6_r1</t>
  </si>
  <si>
    <t>S6_r2</t>
  </si>
  <si>
    <t>S6_r3</t>
  </si>
  <si>
    <t>&lt;&lt; 3.3*s0/B</t>
  </si>
  <si>
    <t>Conc (uM)</t>
  </si>
  <si>
    <t>Log10 Conc</t>
  </si>
  <si>
    <t>Y = 0.155X + 0.6731, R^2=0.9523</t>
  </si>
  <si>
    <t>Calc Conc (log10 uM)</t>
  </si>
  <si>
    <t>Avg Calc log10uM</t>
  </si>
  <si>
    <t>SD Calc log10uM</t>
  </si>
  <si>
    <t>LOD (uM)=</t>
  </si>
  <si>
    <t>LOQ (uM)=</t>
  </si>
  <si>
    <t>LOD (log10 uM)=</t>
  </si>
  <si>
    <t>LOQ (log10 uM)=</t>
  </si>
  <si>
    <t>QC VLow_d1</t>
  </si>
  <si>
    <t>QC VLow_d2</t>
  </si>
  <si>
    <t>QC VLow_d3</t>
  </si>
  <si>
    <t>QC VHigh_d1</t>
  </si>
  <si>
    <t>QC VHigh_d2</t>
  </si>
  <si>
    <t>QC VHigh_d3</t>
  </si>
  <si>
    <t>Conc (log10 uM)</t>
  </si>
  <si>
    <t>(3.3*s0)/B</t>
  </si>
  <si>
    <t>(10*s0)/B</t>
  </si>
  <si>
    <t>Log10 uM</t>
  </si>
  <si>
    <t>uM</t>
  </si>
  <si>
    <t>ng/mL or ug/L</t>
  </si>
  <si>
    <t>E2</t>
  </si>
  <si>
    <t>A620/A519</t>
  </si>
  <si>
    <t>QC VH r1</t>
  </si>
  <si>
    <t>QC VH r2</t>
  </si>
  <si>
    <t>QC VH r3</t>
  </si>
  <si>
    <t>QC VH r4</t>
  </si>
  <si>
    <t>QC VH r5</t>
  </si>
  <si>
    <t>QC VH r6</t>
  </si>
  <si>
    <t>QC VH r7</t>
  </si>
  <si>
    <t>QC VH r8</t>
  </si>
  <si>
    <t>QC VH r9</t>
  </si>
  <si>
    <t>QC H r1</t>
  </si>
  <si>
    <t>QC H r2</t>
  </si>
  <si>
    <t>QC H r3</t>
  </si>
  <si>
    <t>QC H r4</t>
  </si>
  <si>
    <t>QC H r5</t>
  </si>
  <si>
    <t>QC H r6</t>
  </si>
  <si>
    <t>QC H r7</t>
  </si>
  <si>
    <t>QC H r8</t>
  </si>
  <si>
    <t>QC H r9</t>
  </si>
  <si>
    <t>QC M r1</t>
  </si>
  <si>
    <t>QC M r2</t>
  </si>
  <si>
    <t>QC M r3</t>
  </si>
  <si>
    <t>QC M r4</t>
  </si>
  <si>
    <t>QC M r5</t>
  </si>
  <si>
    <t>QC M r6</t>
  </si>
  <si>
    <t>QC M r7</t>
  </si>
  <si>
    <t>QC M r8</t>
  </si>
  <si>
    <t>QC M r9</t>
  </si>
  <si>
    <t>QC L r1</t>
  </si>
  <si>
    <t>QC L r2</t>
  </si>
  <si>
    <t>QC L r3</t>
  </si>
  <si>
    <t>QC L r4</t>
  </si>
  <si>
    <t>QC L r5</t>
  </si>
  <si>
    <t>QC L r6</t>
  </si>
  <si>
    <t>QC L r7</t>
  </si>
  <si>
    <t>QC L r8</t>
  </si>
  <si>
    <t>QC L r9</t>
  </si>
  <si>
    <t>QC VL r1</t>
  </si>
  <si>
    <t>QC VL r2</t>
  </si>
  <si>
    <t>QC VL r3</t>
  </si>
  <si>
    <t>QC VL r4</t>
  </si>
  <si>
    <t>QC VL r5</t>
  </si>
  <si>
    <t>QC VL r6</t>
  </si>
  <si>
    <t>QC VL r7</t>
  </si>
  <si>
    <t>QC VL r8</t>
  </si>
  <si>
    <t>QC VL r9</t>
  </si>
  <si>
    <t>QC</t>
  </si>
  <si>
    <t>SD</t>
  </si>
  <si>
    <t>RSD</t>
  </si>
  <si>
    <t>a</t>
  </si>
  <si>
    <t>b</t>
  </si>
  <si>
    <t>y=ax+b</t>
  </si>
  <si>
    <t>%Err</t>
  </si>
  <si>
    <t>160 uM</t>
  </si>
  <si>
    <t>80 uM</t>
  </si>
  <si>
    <t>120 uM</t>
  </si>
  <si>
    <t>40 uM</t>
  </si>
  <si>
    <t>20 uM</t>
  </si>
  <si>
    <t>30 uM</t>
  </si>
  <si>
    <t>10 uM</t>
  </si>
  <si>
    <t>15 uM</t>
  </si>
  <si>
    <t>5 uM</t>
  </si>
  <si>
    <t>0 uM</t>
  </si>
  <si>
    <t>Standard</t>
  </si>
  <si>
    <t>E1 160 uM</t>
  </si>
  <si>
    <t>E3 160 uM</t>
  </si>
  <si>
    <t>Specificity Pilot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</si>
</sst>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charset val="1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</cellStyleXfs>
  <cellXfs count="104">
    <xf numFmtId="0" fontId="0" fillId="0" borderId="0" xfId="0"/>
    <xf numFmtId="0" fontId="0" fillId="0" borderId="0" xfId="0" quotePrefix="1"/>
    <xf numFmtId="0" fontId="1" fillId="9" borderId="0" xfId="0" applyFont="1" applyFill="1"/>
    <xf numFmtId="164" fontId="0" fillId="0" borderId="0" xfId="0" applyNumberFormat="1"/>
    <xf numFmtId="0" fontId="0" fillId="0" borderId="2" xfId="0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Continuous"/>
    </xf>
    <xf numFmtId="0" fontId="8" fillId="0" borderId="0" xfId="0" applyFont="1"/>
    <xf numFmtId="0" fontId="10" fillId="0" borderId="7" xfId="0" applyFont="1" applyBorder="1"/>
    <xf numFmtId="0" fontId="10" fillId="0" borderId="1" xfId="0" applyFont="1" applyBorder="1"/>
    <xf numFmtId="0" fontId="10" fillId="0" borderId="0" xfId="0" applyFont="1"/>
    <xf numFmtId="0" fontId="11" fillId="0" borderId="8" xfId="0" applyFont="1" applyBorder="1"/>
    <xf numFmtId="0" fontId="8" fillId="0" borderId="9" xfId="0" applyFont="1" applyBorder="1"/>
    <xf numFmtId="0" fontId="11" fillId="0" borderId="10" xfId="0" applyFont="1" applyBorder="1"/>
    <xf numFmtId="0" fontId="11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1" fillId="0" borderId="0" xfId="0" applyFont="1"/>
    <xf numFmtId="0" fontId="9" fillId="0" borderId="11" xfId="0" applyFont="1" applyBorder="1"/>
    <xf numFmtId="2" fontId="9" fillId="0" borderId="9" xfId="0" applyNumberFormat="1" applyFont="1" applyBorder="1" applyAlignment="1">
      <alignment horizontal="left"/>
    </xf>
    <xf numFmtId="0" fontId="9" fillId="0" borderId="9" xfId="0" applyFont="1" applyBorder="1"/>
    <xf numFmtId="2" fontId="9" fillId="0" borderId="9" xfId="0" applyNumberFormat="1" applyFont="1" applyBorder="1"/>
    <xf numFmtId="0" fontId="0" fillId="0" borderId="11" xfId="0" applyBorder="1"/>
    <xf numFmtId="2" fontId="0" fillId="0" borderId="9" xfId="0" applyNumberFormat="1" applyBorder="1"/>
    <xf numFmtId="2" fontId="0" fillId="0" borderId="9" xfId="0" applyNumberForma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9" fillId="0" borderId="12" xfId="0" applyFont="1" applyBorder="1"/>
    <xf numFmtId="2" fontId="9" fillId="0" borderId="13" xfId="0" applyNumberFormat="1" applyFont="1" applyBorder="1" applyAlignment="1">
      <alignment horizontal="left"/>
    </xf>
    <xf numFmtId="0" fontId="9" fillId="0" borderId="13" xfId="0" applyFont="1" applyBorder="1"/>
    <xf numFmtId="0" fontId="11" fillId="0" borderId="9" xfId="0" applyFont="1" applyBorder="1"/>
    <xf numFmtId="0" fontId="11" fillId="0" borderId="9" xfId="0" applyFont="1" applyBorder="1" applyAlignment="1">
      <alignment horizontal="center"/>
    </xf>
    <xf numFmtId="0" fontId="10" fillId="0" borderId="9" xfId="0" applyFont="1" applyBorder="1"/>
    <xf numFmtId="2" fontId="10" fillId="0" borderId="9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9" xfId="0" applyBorder="1"/>
    <xf numFmtId="0" fontId="6" fillId="0" borderId="9" xfId="0" applyFont="1" applyBorder="1"/>
    <xf numFmtId="0" fontId="6" fillId="0" borderId="9" xfId="0" applyFont="1" applyBorder="1" applyAlignment="1">
      <alignment horizontal="left"/>
    </xf>
    <xf numFmtId="2" fontId="0" fillId="0" borderId="0" xfId="0" applyNumberFormat="1"/>
    <xf numFmtId="2" fontId="0" fillId="0" borderId="9" xfId="0" applyNumberFormat="1" applyBorder="1" applyAlignment="1">
      <alignment horizontal="right"/>
    </xf>
    <xf numFmtId="2" fontId="10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12" fillId="0" borderId="9" xfId="0" applyNumberFormat="1" applyFont="1" applyBorder="1"/>
    <xf numFmtId="0" fontId="12" fillId="0" borderId="9" xfId="0" applyFont="1" applyBorder="1"/>
    <xf numFmtId="164" fontId="0" fillId="0" borderId="9" xfId="0" applyNumberFormat="1" applyBorder="1" applyAlignment="1">
      <alignment horizontal="center"/>
    </xf>
    <xf numFmtId="0" fontId="9" fillId="0" borderId="0" xfId="0" applyFont="1"/>
    <xf numFmtId="2" fontId="9" fillId="0" borderId="0" xfId="0" applyNumberFormat="1" applyFont="1" applyAlignment="1">
      <alignment horizontal="left"/>
    </xf>
    <xf numFmtId="165" fontId="0" fillId="0" borderId="9" xfId="0" applyNumberFormat="1" applyBorder="1"/>
    <xf numFmtId="0" fontId="6" fillId="0" borderId="13" xfId="0" applyFont="1" applyBorder="1"/>
    <xf numFmtId="165" fontId="0" fillId="0" borderId="13" xfId="0" applyNumberFormat="1" applyBorder="1"/>
    <xf numFmtId="0" fontId="8" fillId="0" borderId="11" xfId="0" applyFont="1" applyBorder="1"/>
    <xf numFmtId="2" fontId="0" fillId="0" borderId="15" xfId="0" applyNumberFormat="1" applyBorder="1" applyAlignment="1">
      <alignment horizontal="left"/>
    </xf>
    <xf numFmtId="0" fontId="6" fillId="0" borderId="11" xfId="0" applyFont="1" applyBorder="1"/>
    <xf numFmtId="0" fontId="0" fillId="0" borderId="15" xfId="0" applyBorder="1"/>
    <xf numFmtId="0" fontId="6" fillId="0" borderId="11" xfId="0" applyFont="1" applyBorder="1" applyAlignment="1">
      <alignment horizontal="left"/>
    </xf>
    <xf numFmtId="0" fontId="0" fillId="0" borderId="16" xfId="0" applyBorder="1"/>
    <xf numFmtId="0" fontId="6" fillId="0" borderId="17" xfId="0" applyFont="1" applyBorder="1"/>
    <xf numFmtId="2" fontId="0" fillId="0" borderId="18" xfId="0" applyNumberFormat="1" applyBorder="1" applyAlignment="1">
      <alignment horizontal="right"/>
    </xf>
    <xf numFmtId="0" fontId="6" fillId="0" borderId="18" xfId="0" applyFont="1" applyBorder="1"/>
    <xf numFmtId="2" fontId="0" fillId="0" borderId="18" xfId="0" applyNumberFormat="1" applyBorder="1"/>
    <xf numFmtId="0" fontId="0" fillId="0" borderId="19" xfId="0" applyBorder="1"/>
    <xf numFmtId="0" fontId="9" fillId="0" borderId="16" xfId="0" applyFont="1" applyBorder="1"/>
    <xf numFmtId="0" fontId="9" fillId="0" borderId="20" xfId="0" applyFont="1" applyBorder="1"/>
    <xf numFmtId="2" fontId="9" fillId="0" borderId="2" xfId="0" applyNumberFormat="1" applyFont="1" applyBorder="1" applyAlignment="1">
      <alignment horizontal="left"/>
    </xf>
    <xf numFmtId="0" fontId="9" fillId="0" borderId="2" xfId="0" applyFont="1" applyBorder="1"/>
    <xf numFmtId="0" fontId="0" fillId="0" borderId="20" xfId="0" applyBorder="1"/>
    <xf numFmtId="166" fontId="0" fillId="0" borderId="0" xfId="0" applyNumberFormat="1"/>
    <xf numFmtId="0" fontId="10" fillId="0" borderId="9" xfId="0" applyFont="1" applyBorder="1" applyAlignment="1">
      <alignment horizontal="center" vertical="center"/>
    </xf>
    <xf numFmtId="2" fontId="10" fillId="0" borderId="9" xfId="0" applyNumberFormat="1" applyFont="1" applyBorder="1" applyAlignment="1">
      <alignment horizontal="center" vertical="center"/>
    </xf>
    <xf numFmtId="2" fontId="4" fillId="10" borderId="9" xfId="8" applyNumberFormat="1" applyBorder="1" applyAlignment="1">
      <alignment horizontal="center" vertical="center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5" fillId="11" borderId="9" xfId="9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6" fillId="0" borderId="7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14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15" fillId="12" borderId="0" xfId="0" applyFont="1" applyFill="1"/>
    <xf numFmtId="0" fontId="0" fillId="13" borderId="9" xfId="0" applyFill="1" applyBorder="1" applyAlignment="1">
      <alignment horizontal="center"/>
    </xf>
    <xf numFmtId="0" fontId="0" fillId="14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14" borderId="9" xfId="0" applyFill="1" applyBorder="1" applyAlignment="1">
      <alignment horizontal="center"/>
    </xf>
    <xf numFmtId="0" fontId="16" fillId="13" borderId="0" xfId="0" applyFont="1" applyFill="1"/>
    <xf numFmtId="0" fontId="16" fillId="14" borderId="0" xfId="0" applyFont="1" applyFill="1"/>
    <xf numFmtId="0" fontId="16" fillId="0" borderId="9" xfId="0" applyFont="1" applyFill="1" applyBorder="1" applyAlignment="1">
      <alignment horizontal="center"/>
    </xf>
    <xf numFmtId="0" fontId="16" fillId="0" borderId="9" xfId="0" applyFont="1" applyFill="1" applyBorder="1" applyAlignment="1"/>
    <xf numFmtId="0" fontId="0" fillId="0" borderId="0" xfId="0" applyBorder="1"/>
    <xf numFmtId="0" fontId="10" fillId="0" borderId="0" xfId="0" applyFont="1" applyBorder="1" applyAlignment="1">
      <alignment horizontal="center"/>
    </xf>
    <xf numFmtId="0" fontId="0" fillId="15" borderId="21" xfId="0" applyFill="1" applyBorder="1" applyAlignment="1">
      <alignment horizontal="center"/>
    </xf>
    <xf numFmtId="0" fontId="0" fillId="15" borderId="22" xfId="0" applyFill="1" applyBorder="1" applyAlignment="1">
      <alignment horizontal="center"/>
    </xf>
    <xf numFmtId="0" fontId="0" fillId="15" borderId="0" xfId="0" applyFill="1"/>
    <xf numFmtId="0" fontId="16" fillId="15" borderId="21" xfId="0" applyFont="1" applyFill="1" applyBorder="1" applyAlignment="1">
      <alignment horizontal="center"/>
    </xf>
    <xf numFmtId="0" fontId="16" fillId="15" borderId="23" xfId="0" applyFont="1" applyFill="1" applyBorder="1" applyAlignment="1">
      <alignment horizontal="center"/>
    </xf>
    <xf numFmtId="0" fontId="16" fillId="15" borderId="22" xfId="0" applyFont="1" applyFill="1" applyBorder="1" applyAlignment="1">
      <alignment horizontal="center"/>
    </xf>
    <xf numFmtId="0" fontId="0" fillId="15" borderId="23" xfId="0" applyFill="1" applyBorder="1" applyAlignment="1">
      <alignment horizontal="center"/>
    </xf>
    <xf numFmtId="164" fontId="14" fillId="0" borderId="0" xfId="0" applyNumberFormat="1" applyFont="1"/>
  </cellXfs>
  <cellStyles count="10">
    <cellStyle name="Bad" xfId="9" builtinId="27"/>
    <cellStyle name="Good" xfId="8" builtinId="26"/>
    <cellStyle name="Normal" xfId="0" builtinId="0"/>
    <cellStyle name="Tecan.At.Excel.Attenuation" xfId="6" xr:uid="{00000000-0005-0000-0000-000001000000}"/>
    <cellStyle name="Tecan.At.Excel.AutoGain_0" xfId="7" xr:uid="{00000000-0005-0000-0000-000002000000}"/>
    <cellStyle name="Tecan.At.Excel.Error" xfId="1" xr:uid="{00000000-0005-0000-0000-000003000000}"/>
    <cellStyle name="Tecan.At.Excel.GFactorAndMeasurementBlank" xfId="5" xr:uid="{00000000-0005-0000-0000-000004000000}"/>
    <cellStyle name="Tecan.At.Excel.GFactorBlank" xfId="3" xr:uid="{00000000-0005-0000-0000-000005000000}"/>
    <cellStyle name="Tecan.At.Excel.GFactorReference" xfId="4" xr:uid="{00000000-0005-0000-0000-000006000000}"/>
    <cellStyle name="Tecan.At.Excel.MeasurementBlank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AuNP</a:t>
            </a:r>
            <a:r>
              <a:rPr lang="en-US" baseline="0"/>
              <a:t> E2 Kim Aptasensor Validation v1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'Results Analysis - Combined'!$D$5:$D$7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'Results Analysis - Combined'!$E$5:$E$7</c:f>
              <c:numCache>
                <c:formatCode>0.00</c:formatCode>
                <c:ptCount val="3"/>
                <c:pt idx="0">
                  <c:v>0.66745712933069501</c:v>
                </c:pt>
                <c:pt idx="1">
                  <c:v>0.64475961777828084</c:v>
                </c:pt>
                <c:pt idx="2">
                  <c:v>0.69198300472535124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44-47A8-8D06-9F0D70D320F1}"/>
            </c:ext>
          </c:extLst>
        </c:ser>
        <c:ser>
          <c:idx val="1"/>
          <c:order val="1"/>
          <c:tx>
            <c:v>Std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838122815972946"/>
                  <c:y val="0.243755741469816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'Results Analysis - Combined'!$D$8:$D$25</c:f>
              <c:numCache>
                <c:formatCode>0.00</c:formatCode>
                <c:ptCount val="18"/>
                <c:pt idx="0">
                  <c:v>0.69897000433601886</c:v>
                </c:pt>
                <c:pt idx="1">
                  <c:v>0.69897000433601886</c:v>
                </c:pt>
                <c:pt idx="2">
                  <c:v>0.69897000433601886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1.3010299956639813</c:v>
                </c:pt>
                <c:pt idx="7">
                  <c:v>1.3010299956639813</c:v>
                </c:pt>
                <c:pt idx="8">
                  <c:v>1.3010299956639813</c:v>
                </c:pt>
                <c:pt idx="9">
                  <c:v>1.6020599913279623</c:v>
                </c:pt>
                <c:pt idx="10">
                  <c:v>1.6020599913279623</c:v>
                </c:pt>
                <c:pt idx="11">
                  <c:v>1.6020599913279623</c:v>
                </c:pt>
                <c:pt idx="12">
                  <c:v>1.9030899869919435</c:v>
                </c:pt>
                <c:pt idx="13">
                  <c:v>1.9030899869919435</c:v>
                </c:pt>
                <c:pt idx="14">
                  <c:v>1.9030899869919435</c:v>
                </c:pt>
                <c:pt idx="15">
                  <c:v>2.2041199826559246</c:v>
                </c:pt>
                <c:pt idx="16">
                  <c:v>2.2041199826559246</c:v>
                </c:pt>
                <c:pt idx="17">
                  <c:v>2.2041199826559246</c:v>
                </c:pt>
              </c:numCache>
            </c:numRef>
          </c:xVal>
          <c:yVal>
            <c:numRef>
              <c:f>'Results Analysis - Combined'!$E$8:$E$25</c:f>
              <c:numCache>
                <c:formatCode>0.00</c:formatCode>
                <c:ptCount val="18"/>
                <c:pt idx="0">
                  <c:v>0.77708936960373676</c:v>
                </c:pt>
                <c:pt idx="1">
                  <c:v>0.78445366880642409</c:v>
                </c:pt>
                <c:pt idx="2">
                  <c:v>0.74974611895376575</c:v>
                </c:pt>
                <c:pt idx="3">
                  <c:v>0.85402758170175208</c:v>
                </c:pt>
                <c:pt idx="4">
                  <c:v>0.8440387117666126</c:v>
                </c:pt>
                <c:pt idx="5">
                  <c:v>0.81524832942279368</c:v>
                </c:pt>
                <c:pt idx="6">
                  <c:v>0.90315563254149567</c:v>
                </c:pt>
                <c:pt idx="7">
                  <c:v>0.88998062262798672</c:v>
                </c:pt>
                <c:pt idx="8">
                  <c:v>0.85422459999620881</c:v>
                </c:pt>
                <c:pt idx="9">
                  <c:v>0.94556346057447682</c:v>
                </c:pt>
                <c:pt idx="10">
                  <c:v>0.91376748014978282</c:v>
                </c:pt>
                <c:pt idx="11">
                  <c:v>0.89485316943624382</c:v>
                </c:pt>
                <c:pt idx="12">
                  <c:v>0.9742383737997653</c:v>
                </c:pt>
                <c:pt idx="13">
                  <c:v>0.9674215828751116</c:v>
                </c:pt>
                <c:pt idx="14">
                  <c:v>0.96312405626922382</c:v>
                </c:pt>
                <c:pt idx="15">
                  <c:v>1.026557730476704</c:v>
                </c:pt>
                <c:pt idx="16">
                  <c:v>1.0179114610549567</c:v>
                </c:pt>
                <c:pt idx="17">
                  <c:v>0.9905536598982958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44-47A8-8D06-9F0D70D32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956080"/>
        <c:axId val="536950832"/>
      </c:scatterChart>
      <c:valAx>
        <c:axId val="536956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Log10</a:t>
                </a:r>
                <a:r>
                  <a:rPr lang="en-US" baseline="0"/>
                  <a:t> E2 (uM)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6950832"/>
        <c:crosses val="autoZero"/>
        <c:crossBetween val="midCat"/>
      </c:valAx>
      <c:valAx>
        <c:axId val="536950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A620/A519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3695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643671838814266"/>
                  <c:y val="0.428710742983331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'Results Analysis - Combined'!$B$32:$B$37</c:f>
              <c:numCache>
                <c:formatCode>General</c:formatCode>
                <c:ptCount val="6"/>
                <c:pt idx="0">
                  <c:v>2.2041199826559246</c:v>
                </c:pt>
                <c:pt idx="1">
                  <c:v>1.9030899869919435</c:v>
                </c:pt>
                <c:pt idx="2">
                  <c:v>1.6020599913279623</c:v>
                </c:pt>
                <c:pt idx="3">
                  <c:v>1.3010299956639813</c:v>
                </c:pt>
                <c:pt idx="4">
                  <c:v>1</c:v>
                </c:pt>
                <c:pt idx="5">
                  <c:v>0.69897000433601886</c:v>
                </c:pt>
              </c:numCache>
            </c:numRef>
          </c:xVal>
          <c:yVal>
            <c:numRef>
              <c:f>'Results Analysis - Combined'!$C$32:$C$37</c:f>
              <c:numCache>
                <c:formatCode>0.0</c:formatCode>
                <c:ptCount val="6"/>
                <c:pt idx="0">
                  <c:v>1.0116742838099855</c:v>
                </c:pt>
                <c:pt idx="1">
                  <c:v>0.96826133764803357</c:v>
                </c:pt>
                <c:pt idx="2">
                  <c:v>0.91806137005350108</c:v>
                </c:pt>
                <c:pt idx="3">
                  <c:v>0.88245361838856373</c:v>
                </c:pt>
                <c:pt idx="4">
                  <c:v>0.83777154096371953</c:v>
                </c:pt>
                <c:pt idx="5">
                  <c:v>0.77042971912130886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97-4D33-AF8D-01000F8A279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'Results Analysis - Combined'!$B$38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'Results Analysis - Combined'!$C$38</c:f>
              <c:numCache>
                <c:formatCode>0.0</c:formatCode>
                <c:ptCount val="1"/>
                <c:pt idx="0">
                  <c:v>0.66806658394477569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A97-4D33-AF8D-01000F8A2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547840"/>
        <c:axId val="616550792"/>
      </c:scatterChart>
      <c:valAx>
        <c:axId val="6165478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E2 (</a:t>
                </a:r>
                <a:r>
                  <a:rPr lang="el-GR"/>
                  <a:t>μ</a:t>
                </a:r>
                <a:r>
                  <a:rPr lang="en-US"/>
                  <a:t>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6550792"/>
        <c:crosses val="autoZero"/>
        <c:crossBetween val="midCat"/>
      </c:valAx>
      <c:valAx>
        <c:axId val="616550792"/>
        <c:scaling>
          <c:orientation val="minMax"/>
          <c:min val="0.6000000000000000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A620/A519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654784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AuNP E2 Kim Aptasensor Validation Day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494613542627153E-2"/>
                  <c:y val="0.447716291963804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'Results Analysis'!$D$77:$D$82</c:f>
                <c:numCache>
                  <c:formatCode>General</c:formatCode>
                  <c:ptCount val="6"/>
                  <c:pt idx="0">
                    <c:v>1.4719640106825752E-2</c:v>
                  </c:pt>
                  <c:pt idx="1">
                    <c:v>5.432696081967058E-3</c:v>
                  </c:pt>
                  <c:pt idx="2">
                    <c:v>6.6700271767937361E-3</c:v>
                  </c:pt>
                  <c:pt idx="3">
                    <c:v>1.4956709769118226E-3</c:v>
                  </c:pt>
                  <c:pt idx="4">
                    <c:v>4.7821419294147285E-3</c:v>
                  </c:pt>
                  <c:pt idx="5">
                    <c:v>3.1484130650326981E-3</c:v>
                  </c:pt>
                </c:numCache>
              </c:numRef>
            </c:plus>
            <c:minus>
              <c:numRef>
                <c:f>'Results Analysis'!$D$77:$D$82</c:f>
                <c:numCache>
                  <c:formatCode>General</c:formatCode>
                  <c:ptCount val="6"/>
                  <c:pt idx="0">
                    <c:v>1.4719640106825752E-2</c:v>
                  </c:pt>
                  <c:pt idx="1">
                    <c:v>5.432696081967058E-3</c:v>
                  </c:pt>
                  <c:pt idx="2">
                    <c:v>6.6700271767937361E-3</c:v>
                  </c:pt>
                  <c:pt idx="3">
                    <c:v>1.4956709769118226E-3</c:v>
                  </c:pt>
                  <c:pt idx="4">
                    <c:v>4.7821419294147285E-3</c:v>
                  </c:pt>
                  <c:pt idx="5">
                    <c:v>3.1484130650326981E-3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'Results Analysis'!$B$77:$B$82</c:f>
              <c:numCache>
                <c:formatCode>General</c:formatCode>
                <c:ptCount val="6"/>
                <c:pt idx="0">
                  <c:v>2.2041199826559246</c:v>
                </c:pt>
                <c:pt idx="1">
                  <c:v>1.9030899869919435</c:v>
                </c:pt>
                <c:pt idx="2">
                  <c:v>1.6020599913279623</c:v>
                </c:pt>
                <c:pt idx="3">
                  <c:v>1.3010299956639813</c:v>
                </c:pt>
                <c:pt idx="4">
                  <c:v>1</c:v>
                </c:pt>
                <c:pt idx="5">
                  <c:v>0.69897000433601886</c:v>
                </c:pt>
              </c:numCache>
            </c:numRef>
          </c:xVal>
          <c:yVal>
            <c:numRef>
              <c:f>'Results Analysis'!$C$77:$C$82</c:f>
              <c:numCache>
                <c:formatCode>0.000</c:formatCode>
                <c:ptCount val="6"/>
                <c:pt idx="0">
                  <c:v>0.9905536598982958</c:v>
                </c:pt>
                <c:pt idx="1">
                  <c:v>0.96312405626922382</c:v>
                </c:pt>
                <c:pt idx="2">
                  <c:v>0.89485316943624382</c:v>
                </c:pt>
                <c:pt idx="3">
                  <c:v>0.85422459999620881</c:v>
                </c:pt>
                <c:pt idx="4">
                  <c:v>0.81524832942279368</c:v>
                </c:pt>
                <c:pt idx="5">
                  <c:v>0.74974611895376575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3D-49E1-918B-8BB3BFCB667C}"/>
            </c:ext>
          </c:extLst>
        </c:ser>
        <c:ser>
          <c:idx val="1"/>
          <c:order val="1"/>
          <c:tx>
            <c:v>Blank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'Results Analysis'!$D$83</c:f>
                <c:numCache>
                  <c:formatCode>General</c:formatCode>
                  <c:ptCount val="1"/>
                  <c:pt idx="0">
                    <c:v>9.0569838524191898E-2</c:v>
                  </c:pt>
                </c:numCache>
              </c:numRef>
            </c:plus>
            <c:minus>
              <c:numRef>
                <c:f>'Results Analysis'!$D$83</c:f>
                <c:numCache>
                  <c:formatCode>General</c:formatCode>
                  <c:ptCount val="1"/>
                  <c:pt idx="0">
                    <c:v>9.0569838524191898E-2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'Results Analysis'!$B$83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'Results Analysis'!$C$83</c:f>
              <c:numCache>
                <c:formatCode>0.000</c:formatCode>
                <c:ptCount val="1"/>
                <c:pt idx="0">
                  <c:v>0.69198300472535124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1C-4E1B-94D7-C3B690791617}"/>
            </c:ext>
          </c:extLst>
        </c:ser>
        <c:ser>
          <c:idx val="2"/>
          <c:order val="2"/>
          <c:tx>
            <c:v>QC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'Results Analysis'!$D$85:$D$89</c:f>
                <c:numCache>
                  <c:formatCode>General</c:formatCode>
                  <c:ptCount val="5"/>
                  <c:pt idx="0">
                    <c:v>2.3929790770518541E-2</c:v>
                  </c:pt>
                  <c:pt idx="1">
                    <c:v>1.3495490789898066E-2</c:v>
                  </c:pt>
                  <c:pt idx="2">
                    <c:v>2.2546859582799627E-2</c:v>
                  </c:pt>
                  <c:pt idx="3">
                    <c:v>2.5436885221183956E-2</c:v>
                  </c:pt>
                  <c:pt idx="4">
                    <c:v>4.8141403698992474E-2</c:v>
                  </c:pt>
                </c:numCache>
              </c:numRef>
            </c:plus>
            <c:minus>
              <c:numRef>
                <c:f>'Results Analysis'!$D$85:$D$89</c:f>
                <c:numCache>
                  <c:formatCode>General</c:formatCode>
                  <c:ptCount val="5"/>
                  <c:pt idx="0">
                    <c:v>2.3929790770518541E-2</c:v>
                  </c:pt>
                  <c:pt idx="1">
                    <c:v>1.3495490789898066E-2</c:v>
                  </c:pt>
                  <c:pt idx="2">
                    <c:v>2.2546859582799627E-2</c:v>
                  </c:pt>
                  <c:pt idx="3">
                    <c:v>2.5436885221183956E-2</c:v>
                  </c:pt>
                  <c:pt idx="4">
                    <c:v>4.8141403698992474E-2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'Results Analysis'!$B$85:$B$89</c:f>
              <c:numCache>
                <c:formatCode>General</c:formatCode>
                <c:ptCount val="5"/>
                <c:pt idx="0">
                  <c:v>2.2041199826559246</c:v>
                </c:pt>
                <c:pt idx="1">
                  <c:v>2.0791812460476247</c:v>
                </c:pt>
                <c:pt idx="2">
                  <c:v>1.4771212547196624</c:v>
                </c:pt>
                <c:pt idx="3">
                  <c:v>1.1760912590556813</c:v>
                </c:pt>
                <c:pt idx="4">
                  <c:v>0.69897000433601886</c:v>
                </c:pt>
              </c:numCache>
            </c:numRef>
          </c:xVal>
          <c:yVal>
            <c:numRef>
              <c:f>'Results Analysis'!$C$85:$C$89</c:f>
              <c:numCache>
                <c:formatCode>0.000</c:formatCode>
                <c:ptCount val="5"/>
                <c:pt idx="0">
                  <c:v>1.0036212328712431</c:v>
                </c:pt>
                <c:pt idx="1">
                  <c:v>0.96607452010989403</c:v>
                </c:pt>
                <c:pt idx="2">
                  <c:v>0.86270167222714311</c:v>
                </c:pt>
                <c:pt idx="3">
                  <c:v>0.83941540499303502</c:v>
                </c:pt>
                <c:pt idx="4">
                  <c:v>0.67839015186705343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D1C-4E1B-94D7-C3B690791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589312"/>
        <c:axId val="418589640"/>
      </c:scatterChart>
      <c:valAx>
        <c:axId val="418589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Log10 E2 (</a:t>
                </a:r>
                <a:r>
                  <a:rPr lang="el-GR"/>
                  <a:t>μ</a:t>
                </a:r>
                <a:r>
                  <a:rPr lang="en-US"/>
                  <a:t>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589640"/>
        <c:crosses val="autoZero"/>
        <c:crossBetween val="midCat"/>
      </c:valAx>
      <c:valAx>
        <c:axId val="418589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A700/A519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8589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AuNP E2 Kim Aptasensor Specificity Pilot Test v1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'Results Analysis'!$D$91:$D$94</c:f>
                <c:numCache>
                  <c:formatCode>General</c:formatCode>
                  <c:ptCount val="4"/>
                  <c:pt idx="0">
                    <c:v>2.3929790770518541E-2</c:v>
                  </c:pt>
                  <c:pt idx="1">
                    <c:v>7.9116492664250866E-3</c:v>
                  </c:pt>
                  <c:pt idx="2">
                    <c:v>4.2933169538039523E-2</c:v>
                  </c:pt>
                  <c:pt idx="3">
                    <c:v>9.0569838524191898E-2</c:v>
                  </c:pt>
                </c:numCache>
              </c:numRef>
            </c:plus>
            <c:minus>
              <c:numRef>
                <c:f>'Results Analysis'!$D$91:$D$94</c:f>
                <c:numCache>
                  <c:formatCode>General</c:formatCode>
                  <c:ptCount val="4"/>
                  <c:pt idx="0">
                    <c:v>2.3929790770518541E-2</c:v>
                  </c:pt>
                  <c:pt idx="1">
                    <c:v>7.9116492664250866E-3</c:v>
                  </c:pt>
                  <c:pt idx="2">
                    <c:v>4.2933169538039523E-2</c:v>
                  </c:pt>
                  <c:pt idx="3">
                    <c:v>9.0569838524191898E-2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'Results Analysis'!$A$91:$A$94</c:f>
              <c:strCache>
                <c:ptCount val="4"/>
                <c:pt idx="0">
                  <c:v>E2</c:v>
                </c:pt>
                <c:pt idx="1">
                  <c:v>E1</c:v>
                </c:pt>
                <c:pt idx="2">
                  <c:v>E3</c:v>
                </c:pt>
                <c:pt idx="3">
                  <c:v>Blank</c:v>
                </c:pt>
              </c:strCache>
            </c:strRef>
          </c:cat>
          <c:val>
            <c:numRef>
              <c:f>'Results Analysis'!$C$91:$C$94</c:f>
              <c:numCache>
                <c:formatCode>0.000</c:formatCode>
                <c:ptCount val="4"/>
                <c:pt idx="0">
                  <c:v>1.0036212328712399</c:v>
                </c:pt>
                <c:pt idx="1">
                  <c:v>0.94783445718610737</c:v>
                </c:pt>
                <c:pt idx="2">
                  <c:v>1.0267583705713899</c:v>
                </c:pt>
                <c:pt idx="3">
                  <c:v>0.69198300472535124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6E-4265-A86B-449F9A52E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3209992"/>
        <c:axId val="563210320"/>
      </c:barChart>
      <c:catAx>
        <c:axId val="563209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3210320"/>
        <c:crosses val="autoZero"/>
        <c:auto val="1"/>
        <c:lblAlgn val="ctr"/>
        <c:lblOffset val="100"/>
        <c:noMultiLvlLbl val="0"/>
      </c:catAx>
      <c:valAx>
        <c:axId val="563210320"/>
        <c:scaling>
          <c:orientation val="minMax"/>
          <c:min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A620/A519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6320999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420007</xdr:colOff>
      <xdr:row>0</xdr:row>
      <xdr:rowOff>0</xdr:rowOff>
    </xdr:from>
    <xdr:to>
      <xdr:col>20</xdr:col>
      <xdr:colOff>939800</xdr:colOff>
      <xdr:row>12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55BB89-A6A5-48A8-AA34-022A6CE636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228600</xdr:colOff>
      <xdr:row>30</xdr:row>
      <xdr:rowOff>14817</xdr:rowOff>
    </xdr:from>
    <xdr:to>
      <xdr:col>6</xdr:col>
      <xdr:colOff>666750</xdr:colOff>
      <xdr:row>44</xdr:row>
      <xdr:rowOff>91017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54B69F-B705-4715-8FD9-7B7C5018C3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80962</xdr:colOff>
      <xdr:row>72</xdr:row>
      <xdr:rowOff>4762</xdr:rowOff>
    </xdr:from>
    <xdr:to>
      <xdr:col>16</xdr:col>
      <xdr:colOff>385762</xdr:colOff>
      <xdr:row>86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47626</xdr:colOff>
      <xdr:row>91</xdr:row>
      <xdr:rowOff>95250</xdr:rowOff>
    </xdr:from>
    <xdr:to>
      <xdr:col>12</xdr:col>
      <xdr:colOff>529167</xdr:colOff>
      <xdr:row>105</xdr:row>
      <xdr:rowOff>138643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E0B29C-2627-4989-82AF-F5D4F5F370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D9082-F778-46B2-B1C6-23F91420D80D}">
  <dimension ref="A6:V57"/>
  <sheetViews>
    <sheetView tabSelected="1" zoomScale="60" zoomScaleNormal="60" workbookViewId="0">
      <selection activeCell="AB34" sqref="AB34"/>
    </sheetView>
  </sheetViews>
  <sheetFormatPr defaultRowHeight="15" x14ac:dyDescent="0.25"/>
  <cols>
    <col min="1" max="1" width="10.28515625" bestFit="1" customWidth="1"/>
    <col min="2" max="2" width="11.7109375" bestFit="1" customWidth="1"/>
    <col min="9" max="9" width="10.7109375" bestFit="1" customWidth="1"/>
    <col min="10" max="14" width="10.7109375" customWidth="1"/>
    <col min="15" max="15" width="8.5703125" customWidth="1"/>
  </cols>
  <sheetData>
    <row r="6" spans="1:22" x14ac:dyDescent="0.25">
      <c r="G6" t="s">
        <v>212</v>
      </c>
    </row>
    <row r="7" spans="1:22" x14ac:dyDescent="0.25">
      <c r="G7" t="s">
        <v>210</v>
      </c>
      <c r="H7" t="s">
        <v>211</v>
      </c>
      <c r="Q7" t="s">
        <v>210</v>
      </c>
      <c r="R7" t="s">
        <v>211</v>
      </c>
    </row>
    <row r="8" spans="1:22" x14ac:dyDescent="0.25">
      <c r="F8" t="s">
        <v>120</v>
      </c>
      <c r="G8" s="39">
        <v>0.15659999999999999</v>
      </c>
      <c r="H8">
        <v>0.68610000000000004</v>
      </c>
      <c r="Q8" s="39">
        <v>0.15659999999999999</v>
      </c>
      <c r="R8">
        <v>0.68610000000000004</v>
      </c>
    </row>
    <row r="9" spans="1:22" x14ac:dyDescent="0.25">
      <c r="F9" t="s">
        <v>122</v>
      </c>
      <c r="G9" s="39">
        <v>0.1482</v>
      </c>
      <c r="H9">
        <v>0.68779999999999997</v>
      </c>
      <c r="Q9" s="39">
        <v>0.1482</v>
      </c>
      <c r="R9">
        <v>0.68779999999999997</v>
      </c>
    </row>
    <row r="10" spans="1:22" x14ac:dyDescent="0.25">
      <c r="F10" t="s">
        <v>124</v>
      </c>
      <c r="G10" s="39">
        <v>0.16020000000000001</v>
      </c>
      <c r="H10">
        <v>0.64539999999999997</v>
      </c>
      <c r="Q10" s="39">
        <v>0.16020000000000001</v>
      </c>
      <c r="R10">
        <v>0.64539999999999997</v>
      </c>
    </row>
    <row r="12" spans="1:22" x14ac:dyDescent="0.25">
      <c r="A12" t="s">
        <v>207</v>
      </c>
      <c r="B12" t="s">
        <v>161</v>
      </c>
      <c r="C12" t="s">
        <v>82</v>
      </c>
      <c r="D12" t="s">
        <v>208</v>
      </c>
      <c r="E12" t="s">
        <v>209</v>
      </c>
      <c r="F12" t="s">
        <v>82</v>
      </c>
      <c r="G12" t="s">
        <v>208</v>
      </c>
      <c r="H12" t="s">
        <v>209</v>
      </c>
      <c r="I12" t="s">
        <v>75</v>
      </c>
      <c r="K12" t="s">
        <v>213</v>
      </c>
      <c r="M12" t="s">
        <v>79</v>
      </c>
      <c r="O12" t="s">
        <v>74</v>
      </c>
      <c r="Q12" t="s">
        <v>213</v>
      </c>
      <c r="S12" t="s">
        <v>79</v>
      </c>
      <c r="U12" t="s">
        <v>209</v>
      </c>
      <c r="V12" t="s">
        <v>209</v>
      </c>
    </row>
    <row r="13" spans="1:22" x14ac:dyDescent="0.25">
      <c r="A13" t="s">
        <v>162</v>
      </c>
      <c r="B13" s="39">
        <v>1.0114656488118663</v>
      </c>
      <c r="C13" s="83">
        <f>AVERAGE(B13:B15)</f>
        <v>1.005382901395304</v>
      </c>
      <c r="D13" s="83">
        <f>_xlfn.STDEV.S(B13:B15)</f>
        <v>6.5193276418351988E-3</v>
      </c>
      <c r="E13" s="83">
        <f>100*D13/C13</f>
        <v>0.6484422634189877</v>
      </c>
      <c r="F13" s="83">
        <f>AVERAGE(E13:E21)</f>
        <v>1.0773631360486791</v>
      </c>
      <c r="G13" s="83">
        <f>_xlfn.STDEV.S(E13:E21)</f>
        <v>1.1539421516201969</v>
      </c>
      <c r="H13" s="83">
        <f>100*_xlfn.STDEV.S(B13:B21)/AVERAGE(B13:B21)</f>
        <v>1.2470343553196084</v>
      </c>
      <c r="I13" s="39">
        <f>(B13-H$8)/G$8</f>
        <v>2.0776861354525304</v>
      </c>
      <c r="J13" s="39">
        <f>LOG10(P13)</f>
        <v>2.2041199826559246</v>
      </c>
      <c r="K13" s="67">
        <f t="shared" ref="K13:K57" si="0">100*ABS((J13-I13)/J13)</f>
        <v>5.7362506668554243</v>
      </c>
      <c r="L13" s="84">
        <f>AVERAGE(K13:K21)</f>
        <v>4.7707475367997079</v>
      </c>
      <c r="M13" s="67">
        <f t="shared" ref="M13:M57" si="1">100*I13/J13</f>
        <v>94.263749333144574</v>
      </c>
      <c r="N13" s="82">
        <f>AVERAGE(M13:M21)</f>
        <v>97.244119453277889</v>
      </c>
      <c r="O13" s="39">
        <f t="shared" ref="O13:O57" si="2">10^I13</f>
        <v>119.58759595813898</v>
      </c>
      <c r="P13">
        <v>160</v>
      </c>
      <c r="Q13" s="67">
        <f>100*ABS((P13-O13)/P13)</f>
        <v>25.257752526163141</v>
      </c>
      <c r="R13" s="84">
        <f>AVERAGE(Q13:Q21)</f>
        <v>22.960148583790371</v>
      </c>
      <c r="S13" s="67">
        <f>100*O13/P13</f>
        <v>74.742247473836855</v>
      </c>
      <c r="T13" s="82">
        <f>AVERAGE(S13:S21)</f>
        <v>90.024941525721133</v>
      </c>
      <c r="U13" s="82">
        <f>100*_xlfn.STDEV.S(I13:I21)/AVERAGE(I13:I21)</f>
        <v>5.4069256620846193</v>
      </c>
      <c r="V13" s="82">
        <f>100*_xlfn.STDEV.S(O13:O21)/AVERAGE(O13:O21)</f>
        <v>31.082901319013789</v>
      </c>
    </row>
    <row r="14" spans="1:22" x14ac:dyDescent="0.25">
      <c r="A14" t="s">
        <v>163</v>
      </c>
      <c r="B14" s="39">
        <v>0.99850072428131131</v>
      </c>
      <c r="C14" s="83"/>
      <c r="D14" s="83"/>
      <c r="E14" s="83"/>
      <c r="F14" s="83"/>
      <c r="G14" s="83"/>
      <c r="H14" s="83"/>
      <c r="I14" s="39">
        <f t="shared" ref="I14:I15" si="3">(B14-H$8)/G$8</f>
        <v>1.9948960682076071</v>
      </c>
      <c r="J14" s="39">
        <f t="shared" ref="J14:J57" si="4">LOG10(P14)</f>
        <v>2.2041199826559246</v>
      </c>
      <c r="K14" s="67">
        <f t="shared" si="0"/>
        <v>9.4924013254580828</v>
      </c>
      <c r="L14" s="84"/>
      <c r="M14" s="67">
        <f t="shared" si="1"/>
        <v>90.507598674541924</v>
      </c>
      <c r="N14" s="82"/>
      <c r="O14" s="39">
        <f t="shared" si="2"/>
        <v>98.831655054558894</v>
      </c>
      <c r="P14">
        <v>160</v>
      </c>
      <c r="Q14" s="67">
        <f t="shared" ref="Q14:Q57" si="5">100*ABS((P14-O14)/P14)</f>
        <v>38.230215590900691</v>
      </c>
      <c r="R14" s="84"/>
      <c r="S14" s="67">
        <f t="shared" ref="S14:S57" si="6">100*O14/P14</f>
        <v>61.769784409099302</v>
      </c>
      <c r="T14" s="82"/>
      <c r="U14" s="82"/>
      <c r="V14" s="82"/>
    </row>
    <row r="15" spans="1:22" x14ac:dyDescent="0.25">
      <c r="A15" t="s">
        <v>164</v>
      </c>
      <c r="B15" s="39">
        <v>1.006182331092734</v>
      </c>
      <c r="C15" s="83"/>
      <c r="D15" s="83"/>
      <c r="E15" s="83"/>
      <c r="F15" s="83"/>
      <c r="G15" s="83"/>
      <c r="H15" s="83"/>
      <c r="I15" s="39">
        <f t="shared" si="3"/>
        <v>2.0439484744108176</v>
      </c>
      <c r="J15" s="39">
        <f t="shared" si="4"/>
        <v>2.2041199826559246</v>
      </c>
      <c r="K15" s="67">
        <f t="shared" si="0"/>
        <v>7.2669142109089355</v>
      </c>
      <c r="L15" s="84"/>
      <c r="M15" s="67">
        <f t="shared" si="1"/>
        <v>92.733085789091064</v>
      </c>
      <c r="N15" s="82"/>
      <c r="O15" s="39">
        <f t="shared" si="2"/>
        <v>110.64924996474932</v>
      </c>
      <c r="P15">
        <v>160</v>
      </c>
      <c r="Q15" s="67">
        <f t="shared" si="5"/>
        <v>30.844218772031677</v>
      </c>
      <c r="R15" s="84"/>
      <c r="S15" s="67">
        <f t="shared" si="6"/>
        <v>69.155781227968333</v>
      </c>
      <c r="T15" s="82"/>
      <c r="U15" s="82"/>
      <c r="V15" s="82"/>
    </row>
    <row r="16" spans="1:22" x14ac:dyDescent="0.25">
      <c r="A16" t="s">
        <v>165</v>
      </c>
      <c r="B16" s="39">
        <v>1.0087847764673061</v>
      </c>
      <c r="C16" s="83">
        <f t="shared" ref="C16" si="7">AVERAGE(B16:B18)</f>
        <v>1.0072006475841599</v>
      </c>
      <c r="D16" s="83">
        <f t="shared" ref="D16" si="8">_xlfn.STDEV.S(B16:B18)</f>
        <v>2.007374413552913E-3</v>
      </c>
      <c r="E16" s="83">
        <f t="shared" ref="E16" si="9">100*D16/C16</f>
        <v>0.19930233547483697</v>
      </c>
      <c r="F16" s="83"/>
      <c r="G16" s="83"/>
      <c r="H16" s="83"/>
      <c r="I16" s="39">
        <f>(B16-H$9)/G$9</f>
        <v>2.1658891799413373</v>
      </c>
      <c r="J16" s="39">
        <f t="shared" si="4"/>
        <v>2.2041199826559246</v>
      </c>
      <c r="K16" s="67">
        <f t="shared" si="0"/>
        <v>1.7345154989484652</v>
      </c>
      <c r="L16" s="84"/>
      <c r="M16" s="67">
        <f t="shared" si="1"/>
        <v>98.265484501051532</v>
      </c>
      <c r="N16" s="82"/>
      <c r="O16" s="39">
        <f t="shared" si="2"/>
        <v>146.51739209899051</v>
      </c>
      <c r="P16">
        <v>160</v>
      </c>
      <c r="Q16" s="67">
        <f t="shared" si="5"/>
        <v>8.4266299381309295</v>
      </c>
      <c r="R16" s="84"/>
      <c r="S16" s="67">
        <f>100*O16/P16</f>
        <v>91.57337006186907</v>
      </c>
      <c r="T16" s="82"/>
      <c r="U16" s="82"/>
      <c r="V16" s="82"/>
    </row>
    <row r="17" spans="1:22" x14ac:dyDescent="0.25">
      <c r="A17" t="s">
        <v>166</v>
      </c>
      <c r="B17" s="39">
        <v>1.0049431638178292</v>
      </c>
      <c r="C17" s="83"/>
      <c r="D17" s="83"/>
      <c r="E17" s="83"/>
      <c r="F17" s="83"/>
      <c r="G17" s="83"/>
      <c r="H17" s="83"/>
      <c r="I17" s="39">
        <f t="shared" ref="I17:I18" si="10">(B17-H$9)/G$9</f>
        <v>2.1399673671918302</v>
      </c>
      <c r="J17" s="39">
        <f t="shared" si="4"/>
        <v>2.2041199826559246</v>
      </c>
      <c r="K17" s="67">
        <f t="shared" si="0"/>
        <v>2.9105772811329267</v>
      </c>
      <c r="L17" s="84"/>
      <c r="M17" s="67">
        <f t="shared" si="1"/>
        <v>97.08942271886707</v>
      </c>
      <c r="N17" s="82"/>
      <c r="O17" s="39">
        <f t="shared" si="2"/>
        <v>138.02805466776999</v>
      </c>
      <c r="P17">
        <v>160</v>
      </c>
      <c r="Q17" s="67">
        <f t="shared" si="5"/>
        <v>13.732465832643753</v>
      </c>
      <c r="R17" s="84"/>
      <c r="S17" s="67">
        <f t="shared" si="6"/>
        <v>86.267534167356246</v>
      </c>
      <c r="T17" s="82"/>
      <c r="U17" s="82"/>
      <c r="V17" s="82"/>
    </row>
    <row r="18" spans="1:22" x14ac:dyDescent="0.25">
      <c r="A18" t="s">
        <v>167</v>
      </c>
      <c r="B18" s="39">
        <v>1.0078740024673449</v>
      </c>
      <c r="C18" s="83"/>
      <c r="D18" s="83"/>
      <c r="E18" s="83"/>
      <c r="F18" s="83"/>
      <c r="G18" s="83"/>
      <c r="H18" s="83"/>
      <c r="I18" s="39">
        <f t="shared" si="10"/>
        <v>2.1597436063923414</v>
      </c>
      <c r="J18" s="39">
        <f t="shared" si="4"/>
        <v>2.2041199826559246</v>
      </c>
      <c r="K18" s="67">
        <f t="shared" si="0"/>
        <v>2.0133375956290012</v>
      </c>
      <c r="L18" s="84"/>
      <c r="M18" s="67">
        <f t="shared" si="1"/>
        <v>97.986662404370989</v>
      </c>
      <c r="N18" s="82"/>
      <c r="O18" s="39">
        <f t="shared" si="2"/>
        <v>144.45866810595962</v>
      </c>
      <c r="P18">
        <v>160</v>
      </c>
      <c r="Q18" s="67">
        <f t="shared" si="5"/>
        <v>9.7133324337752391</v>
      </c>
      <c r="R18" s="84"/>
      <c r="S18" s="67">
        <f t="shared" si="6"/>
        <v>90.286667566224764</v>
      </c>
      <c r="T18" s="82"/>
      <c r="U18" s="82"/>
      <c r="V18" s="82"/>
    </row>
    <row r="19" spans="1:22" x14ac:dyDescent="0.25">
      <c r="A19" t="s">
        <v>168</v>
      </c>
      <c r="B19" s="39">
        <v>0.99566682553107722</v>
      </c>
      <c r="C19" s="83">
        <f t="shared" ref="C19" si="11">AVERAGE(B19:B21)</f>
        <v>1.0036212328712431</v>
      </c>
      <c r="D19" s="83">
        <f t="shared" ref="D19" si="12">_xlfn.STDEV.S(B19:B21)</f>
        <v>2.3929790770518541E-2</v>
      </c>
      <c r="E19" s="83">
        <f>100*D19/C19</f>
        <v>2.3843448092522124</v>
      </c>
      <c r="F19" s="83"/>
      <c r="G19" s="83"/>
      <c r="H19" s="83"/>
      <c r="I19" s="39">
        <f>(B19-H$10)/G$10</f>
        <v>2.1864346162988593</v>
      </c>
      <c r="J19" s="39">
        <f t="shared" si="4"/>
        <v>2.2041199826559246</v>
      </c>
      <c r="K19" s="67">
        <f t="shared" si="0"/>
        <v>0.80237766075487216</v>
      </c>
      <c r="L19" s="84"/>
      <c r="M19" s="67">
        <f t="shared" si="1"/>
        <v>99.197622339245129</v>
      </c>
      <c r="N19" s="82"/>
      <c r="O19" s="39">
        <f t="shared" si="2"/>
        <v>153.61535056525287</v>
      </c>
      <c r="P19">
        <v>160</v>
      </c>
      <c r="Q19" s="67">
        <f t="shared" si="5"/>
        <v>3.9904058967169571</v>
      </c>
      <c r="R19" s="84"/>
      <c r="S19" s="67">
        <f t="shared" si="6"/>
        <v>96.009594103283035</v>
      </c>
      <c r="T19" s="82"/>
      <c r="U19" s="82"/>
      <c r="V19" s="82"/>
    </row>
    <row r="20" spans="1:22" x14ac:dyDescent="0.25">
      <c r="A20" t="s">
        <v>169</v>
      </c>
      <c r="B20" s="39">
        <v>1.0305152521844476</v>
      </c>
      <c r="C20" s="83"/>
      <c r="D20" s="83"/>
      <c r="E20" s="83"/>
      <c r="F20" s="83"/>
      <c r="G20" s="83"/>
      <c r="H20" s="83"/>
      <c r="I20" s="39">
        <f t="shared" ref="I20:I21" si="13">(B20-H$10)/G$10</f>
        <v>2.4039653694409964</v>
      </c>
      <c r="J20" s="39">
        <f t="shared" si="4"/>
        <v>2.2041199826559246</v>
      </c>
      <c r="K20" s="67">
        <f t="shared" si="0"/>
        <v>9.066901455349166</v>
      </c>
      <c r="L20" s="84"/>
      <c r="M20" s="67">
        <f t="shared" si="1"/>
        <v>109.06690145534917</v>
      </c>
      <c r="N20" s="82"/>
      <c r="O20" s="39">
        <f t="shared" si="2"/>
        <v>253.49264878848288</v>
      </c>
      <c r="P20">
        <v>160</v>
      </c>
      <c r="Q20" s="67">
        <f t="shared" si="5"/>
        <v>58.432905492801801</v>
      </c>
      <c r="R20" s="84"/>
      <c r="S20" s="67">
        <f t="shared" si="6"/>
        <v>158.43290549280181</v>
      </c>
      <c r="T20" s="82"/>
      <c r="U20" s="82"/>
      <c r="V20" s="82"/>
    </row>
    <row r="21" spans="1:22" x14ac:dyDescent="0.25">
      <c r="A21" t="s">
        <v>170</v>
      </c>
      <c r="B21" s="39">
        <v>0.98468162089820399</v>
      </c>
      <c r="C21" s="83"/>
      <c r="D21" s="83"/>
      <c r="E21" s="83"/>
      <c r="F21" s="83"/>
      <c r="G21" s="83"/>
      <c r="H21" s="83"/>
      <c r="I21" s="39">
        <f t="shared" si="13"/>
        <v>2.1178628021111359</v>
      </c>
      <c r="J21" s="39">
        <f t="shared" si="4"/>
        <v>2.2041199826559246</v>
      </c>
      <c r="K21" s="67">
        <f t="shared" si="0"/>
        <v>3.9134521361604993</v>
      </c>
      <c r="L21" s="84"/>
      <c r="M21" s="67">
        <f t="shared" si="1"/>
        <v>96.086547863839499</v>
      </c>
      <c r="N21" s="82"/>
      <c r="O21" s="39">
        <f t="shared" si="2"/>
        <v>131.17854276648134</v>
      </c>
      <c r="P21">
        <v>160</v>
      </c>
      <c r="Q21" s="67">
        <f t="shared" si="5"/>
        <v>18.013410770949161</v>
      </c>
      <c r="R21" s="84"/>
      <c r="S21" s="67">
        <f t="shared" si="6"/>
        <v>81.98658922905085</v>
      </c>
      <c r="T21" s="82"/>
      <c r="U21" s="82"/>
      <c r="V21" s="82"/>
    </row>
    <row r="22" spans="1:22" x14ac:dyDescent="0.25">
      <c r="A22" t="s">
        <v>171</v>
      </c>
      <c r="B22" s="39">
        <v>0.98999043996068026</v>
      </c>
      <c r="C22" s="83">
        <f t="shared" ref="C22" si="14">AVERAGE(B22:B24)</f>
        <v>1.0021252415029547</v>
      </c>
      <c r="D22" s="83">
        <f t="shared" ref="D22" si="15">_xlfn.STDEV.S(B22:B24)</f>
        <v>1.332514329318926E-2</v>
      </c>
      <c r="E22" s="83">
        <f t="shared" ref="E22" si="16">100*D22/C22</f>
        <v>1.3296884203021018</v>
      </c>
      <c r="F22" s="83">
        <f t="shared" ref="F22" si="17">AVERAGE(E22:E30)</f>
        <v>1.0211799916947373</v>
      </c>
      <c r="G22" s="83">
        <f t="shared" ref="G22" si="18">_xlfn.STDEV.S(E22:E30)</f>
        <v>0.59354797130096482</v>
      </c>
      <c r="H22" s="83">
        <f t="shared" ref="H22" si="19">100*_xlfn.STDEV.S(B22:B30)/AVERAGE(B22:B30)</f>
        <v>2.0953359051931346</v>
      </c>
      <c r="I22" s="39">
        <f>(B22-H$8)/G$8</f>
        <v>1.9405519793146886</v>
      </c>
      <c r="J22" s="39">
        <f t="shared" si="4"/>
        <v>2.0791812460476247</v>
      </c>
      <c r="K22" s="67">
        <f t="shared" si="0"/>
        <v>6.6674931296374682</v>
      </c>
      <c r="L22" s="84">
        <f t="shared" ref="L22" si="20">AVERAGE(K22:K30)</f>
        <v>3.5746937498467712</v>
      </c>
      <c r="M22" s="67">
        <f t="shared" si="1"/>
        <v>93.332506870362536</v>
      </c>
      <c r="N22" s="82">
        <f t="shared" ref="N22" si="21">AVERAGE(M22:M30)</f>
        <v>98.599039573491808</v>
      </c>
      <c r="O22" s="39">
        <f t="shared" si="2"/>
        <v>87.207127045664379</v>
      </c>
      <c r="P22">
        <v>120</v>
      </c>
      <c r="Q22" s="67">
        <f t="shared" si="5"/>
        <v>27.327394128613019</v>
      </c>
      <c r="R22" s="84">
        <f t="shared" ref="R22:T22" si="22">AVERAGE(Q22:Q30)</f>
        <v>15.910098984361705</v>
      </c>
      <c r="S22" s="67">
        <f t="shared" si="6"/>
        <v>72.672605871386992</v>
      </c>
      <c r="T22" s="82">
        <f t="shared" si="22"/>
        <v>95.125354840161322</v>
      </c>
      <c r="U22" s="82">
        <f t="shared" ref="U22" si="23">100*_xlfn.STDEV.S(I22:I30)/AVERAGE(I22:I30)</f>
        <v>4.1950098388894066</v>
      </c>
      <c r="V22" s="82">
        <f>100*_xlfn.STDEV.S(O22:O30)/AVERAGE(O22:O30)</f>
        <v>19.215138760965893</v>
      </c>
    </row>
    <row r="23" spans="1:22" x14ac:dyDescent="0.25">
      <c r="A23" t="s">
        <v>172</v>
      </c>
      <c r="B23" s="39">
        <v>1</v>
      </c>
      <c r="C23" s="83"/>
      <c r="D23" s="83"/>
      <c r="E23" s="83"/>
      <c r="F23" s="83"/>
      <c r="G23" s="83"/>
      <c r="H23" s="83"/>
      <c r="I23" s="39">
        <f t="shared" ref="I23:I24" si="24">(B23-H$8)/G$8</f>
        <v>2.0044699872286076</v>
      </c>
      <c r="J23" s="39">
        <f t="shared" si="4"/>
        <v>2.0791812460476247</v>
      </c>
      <c r="K23" s="67">
        <f t="shared" si="0"/>
        <v>3.593301880778208</v>
      </c>
      <c r="L23" s="84"/>
      <c r="M23" s="67">
        <f t="shared" si="1"/>
        <v>96.406698119221801</v>
      </c>
      <c r="N23" s="82"/>
      <c r="O23" s="39">
        <f t="shared" si="2"/>
        <v>101.03456761973294</v>
      </c>
      <c r="P23">
        <v>120</v>
      </c>
      <c r="Q23" s="67">
        <f t="shared" si="5"/>
        <v>15.804526983555883</v>
      </c>
      <c r="R23" s="84"/>
      <c r="S23" s="67">
        <f t="shared" si="6"/>
        <v>84.195473016444112</v>
      </c>
      <c r="T23" s="82"/>
      <c r="U23" s="82"/>
      <c r="V23" s="82"/>
    </row>
    <row r="24" spans="1:22" x14ac:dyDescent="0.25">
      <c r="A24" t="s">
        <v>173</v>
      </c>
      <c r="B24" s="39">
        <v>1.0163852845481838</v>
      </c>
      <c r="C24" s="83"/>
      <c r="D24" s="83"/>
      <c r="E24" s="83"/>
      <c r="F24" s="83"/>
      <c r="G24" s="83"/>
      <c r="H24" s="83"/>
      <c r="I24" s="39">
        <f t="shared" si="24"/>
        <v>2.109101433896448</v>
      </c>
      <c r="J24" s="39">
        <f t="shared" si="4"/>
        <v>2.0791812460476247</v>
      </c>
      <c r="K24" s="67">
        <f t="shared" si="0"/>
        <v>1.439037020254943</v>
      </c>
      <c r="L24" s="84"/>
      <c r="M24" s="67">
        <f t="shared" si="1"/>
        <v>101.43903702025494</v>
      </c>
      <c r="N24" s="82"/>
      <c r="O24" s="39">
        <f t="shared" si="2"/>
        <v>128.5586886783698</v>
      </c>
      <c r="P24">
        <v>120</v>
      </c>
      <c r="Q24" s="67">
        <f t="shared" si="5"/>
        <v>7.1322405653081704</v>
      </c>
      <c r="R24" s="84"/>
      <c r="S24" s="67">
        <f t="shared" si="6"/>
        <v>107.13224056530817</v>
      </c>
      <c r="T24" s="82"/>
      <c r="U24" s="82"/>
      <c r="V24" s="82"/>
    </row>
    <row r="25" spans="1:22" x14ac:dyDescent="0.25">
      <c r="A25" t="s">
        <v>174</v>
      </c>
      <c r="B25" s="39">
        <v>1.0067404617322466</v>
      </c>
      <c r="C25" s="83">
        <f t="shared" ref="C25" si="25">AVERAGE(B25:B27)</f>
        <v>1.0035257952364838</v>
      </c>
      <c r="D25" s="83">
        <f t="shared" ref="D25" si="26">_xlfn.STDEV.S(B25:B27)</f>
        <v>3.3809846067303106E-3</v>
      </c>
      <c r="E25" s="83">
        <f t="shared" ref="E25" si="27">100*D25/C25</f>
        <v>0.33691058294456416</v>
      </c>
      <c r="F25" s="83"/>
      <c r="G25" s="83"/>
      <c r="H25" s="83"/>
      <c r="I25" s="39">
        <f>(B25-H$9)/G$9</f>
        <v>2.1520948834834459</v>
      </c>
      <c r="J25" s="39">
        <f t="shared" si="4"/>
        <v>2.0791812460476247</v>
      </c>
      <c r="K25" s="67">
        <f t="shared" si="0"/>
        <v>3.5068437431524968</v>
      </c>
      <c r="L25" s="84"/>
      <c r="M25" s="67">
        <f t="shared" si="1"/>
        <v>103.5068437431525</v>
      </c>
      <c r="N25" s="82"/>
      <c r="O25" s="39">
        <f t="shared" si="2"/>
        <v>141.93675874071747</v>
      </c>
      <c r="P25">
        <v>120</v>
      </c>
      <c r="Q25" s="67">
        <f t="shared" si="5"/>
        <v>18.280632283931222</v>
      </c>
      <c r="R25" s="84"/>
      <c r="S25" s="67">
        <f t="shared" si="6"/>
        <v>118.28063228393123</v>
      </c>
      <c r="T25" s="82"/>
      <c r="U25" s="82"/>
      <c r="V25" s="82"/>
    </row>
    <row r="26" spans="1:22" x14ac:dyDescent="0.25">
      <c r="A26" t="s">
        <v>175</v>
      </c>
      <c r="B26" s="39">
        <v>1.0038369239772049</v>
      </c>
      <c r="C26" s="83"/>
      <c r="D26" s="83"/>
      <c r="E26" s="83"/>
      <c r="F26" s="83"/>
      <c r="G26" s="83"/>
      <c r="H26" s="83"/>
      <c r="I26" s="39">
        <f t="shared" ref="I26:I27" si="28">(B26-H$9)/G$9</f>
        <v>2.1325028608448378</v>
      </c>
      <c r="J26" s="39">
        <f t="shared" si="4"/>
        <v>2.0791812460476247</v>
      </c>
      <c r="K26" s="67">
        <f t="shared" si="0"/>
        <v>2.5645486606121368</v>
      </c>
      <c r="L26" s="84"/>
      <c r="M26" s="67">
        <f t="shared" si="1"/>
        <v>102.56454866061213</v>
      </c>
      <c r="N26" s="82"/>
      <c r="O26" s="39">
        <f t="shared" si="2"/>
        <v>135.6759467704542</v>
      </c>
      <c r="P26">
        <v>120</v>
      </c>
      <c r="Q26" s="67">
        <f t="shared" si="5"/>
        <v>13.063288975378503</v>
      </c>
      <c r="R26" s="84"/>
      <c r="S26" s="67">
        <f t="shared" si="6"/>
        <v>113.06328897537851</v>
      </c>
      <c r="T26" s="82"/>
      <c r="U26" s="82"/>
      <c r="V26" s="82"/>
    </row>
    <row r="27" spans="1:22" x14ac:dyDescent="0.25">
      <c r="A27" t="s">
        <v>176</v>
      </c>
      <c r="B27" s="39">
        <v>1</v>
      </c>
      <c r="C27" s="83"/>
      <c r="D27" s="83"/>
      <c r="E27" s="83"/>
      <c r="F27" s="83"/>
      <c r="G27" s="83"/>
      <c r="H27" s="83"/>
      <c r="I27" s="39">
        <f t="shared" si="28"/>
        <v>2.1066126855600542</v>
      </c>
      <c r="J27" s="39">
        <f t="shared" si="4"/>
        <v>2.0791812460476247</v>
      </c>
      <c r="K27" s="67">
        <f t="shared" si="0"/>
        <v>1.3193385408114255</v>
      </c>
      <c r="L27" s="84"/>
      <c r="M27" s="67">
        <f t="shared" si="1"/>
        <v>101.31933854081142</v>
      </c>
      <c r="N27" s="82"/>
      <c r="O27" s="39">
        <f t="shared" si="2"/>
        <v>127.82408292495829</v>
      </c>
      <c r="P27">
        <v>120</v>
      </c>
      <c r="Q27" s="67">
        <f t="shared" si="5"/>
        <v>6.5200691041319079</v>
      </c>
      <c r="R27" s="84"/>
      <c r="S27" s="67">
        <f t="shared" si="6"/>
        <v>106.52006910413191</v>
      </c>
      <c r="T27" s="82"/>
      <c r="U27" s="82"/>
      <c r="V27" s="82"/>
    </row>
    <row r="28" spans="1:22" x14ac:dyDescent="0.25">
      <c r="A28" t="s">
        <v>177</v>
      </c>
      <c r="B28" s="39">
        <v>0.9816559098063824</v>
      </c>
      <c r="C28" s="83">
        <f t="shared" ref="C28" si="29">AVERAGE(B28:B30)</f>
        <v>0.96607452010989403</v>
      </c>
      <c r="D28" s="83">
        <f t="shared" ref="D28" si="30">_xlfn.STDEV.S(B28:B30)</f>
        <v>1.3495490789898066E-2</v>
      </c>
      <c r="E28" s="83">
        <f t="shared" ref="E28" si="31">100*D28/C28</f>
        <v>1.3969409718375463</v>
      </c>
      <c r="F28" s="83"/>
      <c r="G28" s="83"/>
      <c r="H28" s="83"/>
      <c r="I28" s="39">
        <f>(B28-H$10)/G$10</f>
        <v>2.0989757166440848</v>
      </c>
      <c r="J28" s="39">
        <f t="shared" si="4"/>
        <v>2.0791812460476247</v>
      </c>
      <c r="K28" s="67">
        <f t="shared" si="0"/>
        <v>0.95203199019267759</v>
      </c>
      <c r="L28" s="84"/>
      <c r="M28" s="67">
        <f t="shared" si="1"/>
        <v>100.95203199019268</v>
      </c>
      <c r="N28" s="82"/>
      <c r="O28" s="39">
        <f t="shared" si="2"/>
        <v>125.59597353792462</v>
      </c>
      <c r="P28">
        <v>120</v>
      </c>
      <c r="Q28" s="67">
        <f t="shared" si="5"/>
        <v>4.6633112816038516</v>
      </c>
      <c r="R28" s="84"/>
      <c r="S28" s="67">
        <f t="shared" si="6"/>
        <v>104.66331128160385</v>
      </c>
      <c r="T28" s="82"/>
      <c r="U28" s="82"/>
      <c r="V28" s="82"/>
    </row>
    <row r="29" spans="1:22" x14ac:dyDescent="0.25">
      <c r="A29" t="s">
        <v>178</v>
      </c>
      <c r="B29" s="39">
        <v>0.95807527549576887</v>
      </c>
      <c r="C29" s="83"/>
      <c r="D29" s="83"/>
      <c r="E29" s="83"/>
      <c r="F29" s="83"/>
      <c r="G29" s="83"/>
      <c r="H29" s="83"/>
      <c r="I29" s="39">
        <f t="shared" ref="I29:I30" si="32">(B29-H$10)/G$10</f>
        <v>1.9517807459161602</v>
      </c>
      <c r="J29" s="39">
        <f t="shared" si="4"/>
        <v>2.0791812460476247</v>
      </c>
      <c r="K29" s="67">
        <f t="shared" si="0"/>
        <v>6.1274359978786688</v>
      </c>
      <c r="L29" s="84"/>
      <c r="M29" s="67">
        <f t="shared" si="1"/>
        <v>93.872564002121337</v>
      </c>
      <c r="N29" s="82"/>
      <c r="O29" s="39">
        <f t="shared" si="2"/>
        <v>89.491285367039694</v>
      </c>
      <c r="P29">
        <v>120</v>
      </c>
      <c r="Q29" s="67">
        <f t="shared" si="5"/>
        <v>25.423928860800256</v>
      </c>
      <c r="R29" s="84"/>
      <c r="S29" s="67">
        <f t="shared" si="6"/>
        <v>74.57607113919974</v>
      </c>
      <c r="T29" s="82"/>
      <c r="U29" s="82"/>
      <c r="V29" s="82"/>
    </row>
    <row r="30" spans="1:22" x14ac:dyDescent="0.25">
      <c r="A30" t="s">
        <v>179</v>
      </c>
      <c r="B30" s="39">
        <v>0.95849237502753093</v>
      </c>
      <c r="C30" s="83"/>
      <c r="D30" s="83"/>
      <c r="E30" s="83"/>
      <c r="F30" s="83"/>
      <c r="G30" s="83"/>
      <c r="H30" s="83"/>
      <c r="I30" s="39">
        <f t="shared" si="32"/>
        <v>1.9543843634677336</v>
      </c>
      <c r="J30" s="39">
        <f t="shared" si="4"/>
        <v>2.0791812460476247</v>
      </c>
      <c r="K30" s="67">
        <f t="shared" si="0"/>
        <v>6.0022127853029188</v>
      </c>
      <c r="L30" s="84"/>
      <c r="M30" s="67">
        <f t="shared" si="1"/>
        <v>93.997787214697084</v>
      </c>
      <c r="N30" s="82"/>
      <c r="O30" s="39">
        <f t="shared" si="2"/>
        <v>90.029401588880958</v>
      </c>
      <c r="P30">
        <v>120</v>
      </c>
      <c r="Q30" s="67">
        <f t="shared" si="5"/>
        <v>24.975498675932535</v>
      </c>
      <c r="R30" s="84"/>
      <c r="S30" s="67">
        <f t="shared" si="6"/>
        <v>75.024501324067458</v>
      </c>
      <c r="T30" s="82"/>
      <c r="U30" s="82"/>
      <c r="V30" s="82"/>
    </row>
    <row r="31" spans="1:22" x14ac:dyDescent="0.25">
      <c r="A31" t="s">
        <v>180</v>
      </c>
      <c r="B31" s="39">
        <v>0.93907154380426217</v>
      </c>
      <c r="C31" s="83">
        <f t="shared" ref="C31" si="33">AVERAGE(B31:B33)</f>
        <v>0.9190461435542373</v>
      </c>
      <c r="D31" s="83">
        <f t="shared" ref="D31" si="34">_xlfn.STDEV.S(B31:B33)</f>
        <v>1.7633322906894518E-2</v>
      </c>
      <c r="E31" s="83">
        <f t="shared" ref="E31" si="35">100*D31/C31</f>
        <v>1.9186547955797923</v>
      </c>
      <c r="F31" s="83">
        <f t="shared" ref="F31" si="36">AVERAGE(E31:E39)</f>
        <v>1.6150364259943579</v>
      </c>
      <c r="G31" s="83">
        <f t="shared" ref="G31" si="37">_xlfn.STDEV.S(E31:E39)</f>
        <v>1.179960115262741</v>
      </c>
      <c r="H31" s="83">
        <f t="shared" ref="H31" si="38">100*_xlfn.STDEV.S(B31:B39)/AVERAGE(B31:B39)</f>
        <v>3.1925989617275401</v>
      </c>
      <c r="I31" s="39">
        <f>(B31-H$8)/G$8</f>
        <v>1.6153993857232576</v>
      </c>
      <c r="J31" s="39">
        <f t="shared" si="4"/>
        <v>1.4771212547196624</v>
      </c>
      <c r="K31" s="67">
        <f t="shared" si="0"/>
        <v>9.3613256570354153</v>
      </c>
      <c r="L31" s="84">
        <f t="shared" ref="L31" si="39">AVERAGE(K31:K39)</f>
        <v>6.4638744557832624</v>
      </c>
      <c r="M31" s="67">
        <f t="shared" si="1"/>
        <v>109.36132565703541</v>
      </c>
      <c r="N31" s="82">
        <f t="shared" ref="N31" si="40">AVERAGE(M31:M39)</f>
        <v>96.105535542507468</v>
      </c>
      <c r="O31" s="39">
        <f t="shared" si="2"/>
        <v>41.247666636716097</v>
      </c>
      <c r="P31">
        <v>30</v>
      </c>
      <c r="Q31" s="67">
        <f t="shared" si="5"/>
        <v>37.492222122386991</v>
      </c>
      <c r="R31" s="84">
        <f t="shared" ref="R31:T31" si="41">AVERAGE(Q31:Q39)</f>
        <v>20.051317314391198</v>
      </c>
      <c r="S31" s="67">
        <f t="shared" si="6"/>
        <v>137.49222212238698</v>
      </c>
      <c r="T31" s="82">
        <f t="shared" si="41"/>
        <v>90.00771756467617</v>
      </c>
      <c r="U31" s="82">
        <f t="shared" ref="U31" si="42">100*_xlfn.STDEV.S(I31:I39)/AVERAGE(I31:I39)</f>
        <v>7.5364389676302537</v>
      </c>
      <c r="V31" s="82">
        <f>100*_xlfn.STDEV.S(O31:O39)/AVERAGE(O31:O39)</f>
        <v>25.253314330257194</v>
      </c>
    </row>
    <row r="32" spans="1:22" x14ac:dyDescent="0.25">
      <c r="A32" t="s">
        <v>181</v>
      </c>
      <c r="B32" s="39">
        <v>0.90584415113177985</v>
      </c>
      <c r="C32" s="83"/>
      <c r="D32" s="83"/>
      <c r="E32" s="83"/>
      <c r="F32" s="83"/>
      <c r="G32" s="83"/>
      <c r="H32" s="83"/>
      <c r="I32" s="39">
        <f t="shared" ref="I32:I33" si="43">(B32-H$8)/G$8</f>
        <v>1.4032193558862058</v>
      </c>
      <c r="J32" s="39">
        <f t="shared" si="4"/>
        <v>1.4771212547196624</v>
      </c>
      <c r="K32" s="67">
        <f t="shared" si="0"/>
        <v>5.0031030693876328</v>
      </c>
      <c r="L32" s="84"/>
      <c r="M32" s="67">
        <f t="shared" si="1"/>
        <v>94.996896930612365</v>
      </c>
      <c r="N32" s="82"/>
      <c r="O32" s="39">
        <f t="shared" si="2"/>
        <v>25.305758311069408</v>
      </c>
      <c r="P32">
        <v>30</v>
      </c>
      <c r="Q32" s="67">
        <f t="shared" si="5"/>
        <v>15.647472296435309</v>
      </c>
      <c r="R32" s="84"/>
      <c r="S32" s="67">
        <f t="shared" si="6"/>
        <v>84.352527703564689</v>
      </c>
      <c r="T32" s="82"/>
      <c r="U32" s="82"/>
      <c r="V32" s="82"/>
    </row>
    <row r="33" spans="1:22" x14ac:dyDescent="0.25">
      <c r="A33" t="s">
        <v>182</v>
      </c>
      <c r="B33" s="39">
        <v>0.91222273572667034</v>
      </c>
      <c r="C33" s="83"/>
      <c r="D33" s="83"/>
      <c r="E33" s="83"/>
      <c r="F33" s="83"/>
      <c r="G33" s="83"/>
      <c r="H33" s="83"/>
      <c r="I33" s="39">
        <f t="shared" si="43"/>
        <v>1.4439510582801425</v>
      </c>
      <c r="J33" s="39">
        <f t="shared" si="4"/>
        <v>1.4771212547196624</v>
      </c>
      <c r="K33" s="67">
        <f t="shared" si="0"/>
        <v>2.2455973965262022</v>
      </c>
      <c r="L33" s="84"/>
      <c r="M33" s="67">
        <f t="shared" si="1"/>
        <v>97.754402603473793</v>
      </c>
      <c r="N33" s="82"/>
      <c r="O33" s="39">
        <f t="shared" si="2"/>
        <v>27.794000326425039</v>
      </c>
      <c r="P33">
        <v>30</v>
      </c>
      <c r="Q33" s="67">
        <f t="shared" si="5"/>
        <v>7.3533322452498719</v>
      </c>
      <c r="R33" s="84"/>
      <c r="S33" s="67">
        <f t="shared" si="6"/>
        <v>92.646667754750126</v>
      </c>
      <c r="T33" s="82"/>
      <c r="U33" s="82"/>
      <c r="V33" s="82"/>
    </row>
    <row r="34" spans="1:22" x14ac:dyDescent="0.25">
      <c r="A34" t="s">
        <v>183</v>
      </c>
      <c r="B34" s="39">
        <v>0.89645527496952349</v>
      </c>
      <c r="C34" s="83">
        <f t="shared" ref="C34" si="44">AVERAGE(B34:B36)</f>
        <v>0.89747672550477786</v>
      </c>
      <c r="D34" s="83">
        <f t="shared" ref="D34" si="45">_xlfn.STDEV.S(B34:B36)</f>
        <v>2.808536159836054E-3</v>
      </c>
      <c r="E34" s="83">
        <f t="shared" ref="E34" si="46">100*D34/C34</f>
        <v>0.31293693530118211</v>
      </c>
      <c r="F34" s="83"/>
      <c r="G34" s="83"/>
      <c r="H34" s="83"/>
      <c r="I34" s="39">
        <f>(B34-H$9)/G$9</f>
        <v>1.4079303304286337</v>
      </c>
      <c r="J34" s="39">
        <f t="shared" si="4"/>
        <v>1.4771212547196624</v>
      </c>
      <c r="K34" s="67">
        <f t="shared" si="0"/>
        <v>4.6841736296158158</v>
      </c>
      <c r="L34" s="84"/>
      <c r="M34" s="67">
        <f t="shared" si="1"/>
        <v>95.315826370384173</v>
      </c>
      <c r="N34" s="82"/>
      <c r="O34" s="39">
        <f t="shared" si="2"/>
        <v>25.581754711800375</v>
      </c>
      <c r="P34">
        <v>30</v>
      </c>
      <c r="Q34" s="67">
        <f t="shared" si="5"/>
        <v>14.727484293998749</v>
      </c>
      <c r="R34" s="84"/>
      <c r="S34" s="67">
        <f t="shared" si="6"/>
        <v>85.272515706001258</v>
      </c>
      <c r="T34" s="82"/>
      <c r="U34" s="82"/>
      <c r="V34" s="82"/>
    </row>
    <row r="35" spans="1:22" x14ac:dyDescent="0.25">
      <c r="A35" t="s">
        <v>184</v>
      </c>
      <c r="B35" s="39">
        <v>0.90065303784922857</v>
      </c>
      <c r="C35" s="83"/>
      <c r="D35" s="83"/>
      <c r="E35" s="83"/>
      <c r="F35" s="83"/>
      <c r="G35" s="83"/>
      <c r="H35" s="83"/>
      <c r="I35" s="39">
        <f t="shared" ref="I35:I36" si="47">(B35-H$9)/G$9</f>
        <v>1.4362553161216505</v>
      </c>
      <c r="J35" s="39">
        <f t="shared" si="4"/>
        <v>1.4771212547196624</v>
      </c>
      <c r="K35" s="67">
        <f t="shared" si="0"/>
        <v>2.7665933630998838</v>
      </c>
      <c r="L35" s="84"/>
      <c r="M35" s="67">
        <f t="shared" si="1"/>
        <v>97.233406636900114</v>
      </c>
      <c r="N35" s="82"/>
      <c r="O35" s="39">
        <f t="shared" si="2"/>
        <v>27.305825853061627</v>
      </c>
      <c r="P35">
        <v>30</v>
      </c>
      <c r="Q35" s="67">
        <f t="shared" si="5"/>
        <v>8.9805804897945762</v>
      </c>
      <c r="R35" s="84"/>
      <c r="S35" s="67">
        <f t="shared" si="6"/>
        <v>91.019419510205424</v>
      </c>
      <c r="T35" s="82"/>
      <c r="U35" s="82"/>
      <c r="V35" s="82"/>
    </row>
    <row r="36" spans="1:22" x14ac:dyDescent="0.25">
      <c r="A36" t="s">
        <v>185</v>
      </c>
      <c r="B36" s="39">
        <v>0.89532186369558175</v>
      </c>
      <c r="C36" s="83"/>
      <c r="D36" s="83"/>
      <c r="E36" s="83"/>
      <c r="F36" s="83"/>
      <c r="G36" s="83"/>
      <c r="H36" s="83"/>
      <c r="I36" s="39">
        <f t="shared" si="47"/>
        <v>1.4002824810768002</v>
      </c>
      <c r="J36" s="39">
        <f t="shared" si="4"/>
        <v>1.4771212547196624</v>
      </c>
      <c r="K36" s="67">
        <f t="shared" si="0"/>
        <v>5.2019272891341028</v>
      </c>
      <c r="L36" s="84"/>
      <c r="M36" s="67">
        <f t="shared" si="1"/>
        <v>94.798072710865895</v>
      </c>
      <c r="N36" s="82"/>
      <c r="O36" s="39">
        <f t="shared" si="2"/>
        <v>25.135207861368038</v>
      </c>
      <c r="P36">
        <v>30</v>
      </c>
      <c r="Q36" s="67">
        <f t="shared" si="5"/>
        <v>16.215973795439876</v>
      </c>
      <c r="R36" s="84"/>
      <c r="S36" s="67">
        <f t="shared" si="6"/>
        <v>83.784026204560135</v>
      </c>
      <c r="T36" s="82"/>
      <c r="U36" s="82"/>
      <c r="V36" s="82"/>
    </row>
    <row r="37" spans="1:22" x14ac:dyDescent="0.25">
      <c r="A37" t="s">
        <v>186</v>
      </c>
      <c r="B37" s="39">
        <v>0.88724320325846329</v>
      </c>
      <c r="C37" s="83">
        <f t="shared" ref="C37" si="48">AVERAGE(B37:B39)</f>
        <v>0.86270167222714311</v>
      </c>
      <c r="D37" s="83">
        <f t="shared" ref="D37" si="49">_xlfn.STDEV.S(B37:B39)</f>
        <v>2.2546859582799627E-2</v>
      </c>
      <c r="E37" s="83">
        <f t="shared" ref="E37" si="50">100*D37/C37</f>
        <v>2.6135175471020999</v>
      </c>
      <c r="F37" s="83"/>
      <c r="G37" s="83"/>
      <c r="H37" s="83"/>
      <c r="I37" s="39">
        <f>(B37-H$10)/G$10</f>
        <v>1.5096329791414689</v>
      </c>
      <c r="J37" s="39">
        <f t="shared" si="4"/>
        <v>1.4771212547196624</v>
      </c>
      <c r="K37" s="67">
        <f t="shared" si="0"/>
        <v>2.2010193352729721</v>
      </c>
      <c r="L37" s="84"/>
      <c r="M37" s="67">
        <f t="shared" si="1"/>
        <v>102.20101933527297</v>
      </c>
      <c r="N37" s="82"/>
      <c r="O37" s="39">
        <f t="shared" si="2"/>
        <v>32.332030450024867</v>
      </c>
      <c r="P37">
        <v>30</v>
      </c>
      <c r="Q37" s="67">
        <f t="shared" si="5"/>
        <v>7.7734348334162222</v>
      </c>
      <c r="R37" s="84"/>
      <c r="S37" s="67">
        <f t="shared" si="6"/>
        <v>107.77343483341623</v>
      </c>
      <c r="T37" s="82"/>
      <c r="U37" s="82"/>
      <c r="V37" s="82"/>
    </row>
    <row r="38" spans="1:22" x14ac:dyDescent="0.25">
      <c r="A38" t="s">
        <v>187</v>
      </c>
      <c r="B38" s="39">
        <v>0.85795724832115949</v>
      </c>
      <c r="C38" s="83"/>
      <c r="D38" s="83"/>
      <c r="E38" s="83"/>
      <c r="F38" s="83"/>
      <c r="G38" s="83"/>
      <c r="H38" s="83"/>
      <c r="I38" s="39">
        <f t="shared" ref="I38:I39" si="51">(B38-H$10)/G$10</f>
        <v>1.3268242716676624</v>
      </c>
      <c r="J38" s="39">
        <f t="shared" si="4"/>
        <v>1.4771212547196624</v>
      </c>
      <c r="K38" s="67">
        <f t="shared" si="0"/>
        <v>10.174992917593913</v>
      </c>
      <c r="L38" s="84"/>
      <c r="M38" s="67">
        <f t="shared" si="1"/>
        <v>89.825007082406088</v>
      </c>
      <c r="N38" s="82"/>
      <c r="O38" s="39">
        <f t="shared" si="2"/>
        <v>21.223855085764932</v>
      </c>
      <c r="P38">
        <v>30</v>
      </c>
      <c r="Q38" s="67">
        <f t="shared" si="5"/>
        <v>29.253816380783558</v>
      </c>
      <c r="R38" s="84"/>
      <c r="S38" s="67">
        <f t="shared" si="6"/>
        <v>70.746183619216438</v>
      </c>
      <c r="T38" s="82"/>
      <c r="U38" s="82"/>
      <c r="V38" s="82"/>
    </row>
    <row r="39" spans="1:22" x14ac:dyDescent="0.25">
      <c r="A39" t="s">
        <v>188</v>
      </c>
      <c r="B39" s="39">
        <v>0.84290456510180667</v>
      </c>
      <c r="C39" s="83"/>
      <c r="D39" s="83"/>
      <c r="E39" s="83"/>
      <c r="F39" s="83"/>
      <c r="G39" s="83"/>
      <c r="H39" s="83"/>
      <c r="I39" s="39">
        <f t="shared" si="51"/>
        <v>1.232862453819018</v>
      </c>
      <c r="J39" s="39">
        <f t="shared" si="4"/>
        <v>1.4771212547196624</v>
      </c>
      <c r="K39" s="67">
        <f t="shared" si="0"/>
        <v>16.536137444383421</v>
      </c>
      <c r="L39" s="84"/>
      <c r="M39" s="67">
        <f t="shared" si="1"/>
        <v>83.463862555616572</v>
      </c>
      <c r="N39" s="82"/>
      <c r="O39" s="39">
        <f t="shared" si="2"/>
        <v>17.094738188395311</v>
      </c>
      <c r="P39">
        <v>30</v>
      </c>
      <c r="Q39" s="67">
        <f t="shared" si="5"/>
        <v>43.017539372015626</v>
      </c>
      <c r="R39" s="84"/>
      <c r="S39" s="67">
        <f t="shared" si="6"/>
        <v>56.982460627984366</v>
      </c>
      <c r="T39" s="82"/>
      <c r="U39" s="82"/>
      <c r="V39" s="82"/>
    </row>
    <row r="40" spans="1:22" x14ac:dyDescent="0.25">
      <c r="A40" t="s">
        <v>189</v>
      </c>
      <c r="B40" s="39">
        <v>0.87197725979578278</v>
      </c>
      <c r="C40" s="83">
        <f t="shared" ref="C40" si="52">AVERAGE(B40:B42)</f>
        <v>0.85707362630190664</v>
      </c>
      <c r="D40" s="83">
        <f t="shared" ref="D40" si="53">_xlfn.STDEV.S(B40:B42)</f>
        <v>1.9407112366377027E-2</v>
      </c>
      <c r="E40" s="83">
        <f t="shared" ref="E40" si="54">100*D40/C40</f>
        <v>2.2643459990846591</v>
      </c>
      <c r="F40" s="83">
        <f t="shared" ref="F40" si="55">AVERAGE(E40:E48)</f>
        <v>2.1924245368840367</v>
      </c>
      <c r="G40" s="83">
        <f t="shared" ref="G40" si="56">_xlfn.STDEV.S(E40:E48)</f>
        <v>0.87606273488522213</v>
      </c>
      <c r="H40" s="83">
        <f t="shared" ref="H40" si="57">100*_xlfn.STDEV.S(B40:B48)/AVERAGE(B40:B48)</f>
        <v>2.8250222636805193</v>
      </c>
      <c r="I40" s="39">
        <f>(B40-H$8)/G$8</f>
        <v>1.186955681965407</v>
      </c>
      <c r="J40" s="39">
        <f t="shared" si="4"/>
        <v>1.1760912590556813</v>
      </c>
      <c r="K40" s="67">
        <f t="shared" si="0"/>
        <v>0.92377379953057692</v>
      </c>
      <c r="L40" s="84">
        <f t="shared" ref="L40" si="58">AVERAGE(K40:K48)</f>
        <v>8.8611138371800955</v>
      </c>
      <c r="M40" s="67">
        <f t="shared" si="1"/>
        <v>100.92377379953058</v>
      </c>
      <c r="N40" s="82">
        <f t="shared" ref="N40" si="59">AVERAGE(M40:M48)</f>
        <v>101.90544848799605</v>
      </c>
      <c r="O40" s="39">
        <f t="shared" si="2"/>
        <v>15.379976857125902</v>
      </c>
      <c r="P40">
        <v>15</v>
      </c>
      <c r="Q40" s="67">
        <f t="shared" si="5"/>
        <v>2.5331790475060125</v>
      </c>
      <c r="R40" s="84">
        <f t="shared" ref="R40:T40" si="60">AVERAGE(Q40:Q48)</f>
        <v>25.719331150448632</v>
      </c>
      <c r="S40" s="67">
        <f t="shared" si="6"/>
        <v>102.53317904750602</v>
      </c>
      <c r="T40" s="82">
        <f t="shared" si="60"/>
        <v>110.04893133281394</v>
      </c>
      <c r="U40" s="82">
        <f t="shared" ref="U40" si="61">100*_xlfn.STDEV.S(I40:I48)/AVERAGE(I40:I48)</f>
        <v>11.574505678305002</v>
      </c>
      <c r="V40" s="82">
        <f>100*_xlfn.STDEV.S(O40:O48)/AVERAGE(O40:O48)</f>
        <v>31.04941764727937</v>
      </c>
    </row>
    <row r="41" spans="1:22" x14ac:dyDescent="0.25">
      <c r="A41" t="s">
        <v>190</v>
      </c>
      <c r="B41" s="39">
        <v>0.83512880117467214</v>
      </c>
      <c r="C41" s="83"/>
      <c r="D41" s="83"/>
      <c r="E41" s="83"/>
      <c r="F41" s="83"/>
      <c r="G41" s="83"/>
      <c r="H41" s="83"/>
      <c r="I41" s="39">
        <f t="shared" ref="I41:I42" si="62">(B41-H$8)/G$8</f>
        <v>0.95165262563647579</v>
      </c>
      <c r="J41" s="39">
        <f t="shared" si="4"/>
        <v>1.1760912590556813</v>
      </c>
      <c r="K41" s="67">
        <f t="shared" si="0"/>
        <v>19.083436909429459</v>
      </c>
      <c r="L41" s="84"/>
      <c r="M41" s="67">
        <f t="shared" si="1"/>
        <v>80.916563090570534</v>
      </c>
      <c r="N41" s="82"/>
      <c r="O41" s="39">
        <f t="shared" si="2"/>
        <v>8.9464888629511563</v>
      </c>
      <c r="P41">
        <v>15</v>
      </c>
      <c r="Q41" s="67">
        <f t="shared" si="5"/>
        <v>40.356740913658953</v>
      </c>
      <c r="R41" s="84"/>
      <c r="S41" s="67">
        <f t="shared" si="6"/>
        <v>59.64325908634104</v>
      </c>
      <c r="T41" s="82"/>
      <c r="U41" s="82"/>
      <c r="V41" s="82"/>
    </row>
    <row r="42" spans="1:22" x14ac:dyDescent="0.25">
      <c r="A42" t="s">
        <v>191</v>
      </c>
      <c r="B42" s="39">
        <v>0.86411481793526523</v>
      </c>
      <c r="C42" s="83"/>
      <c r="D42" s="83"/>
      <c r="E42" s="83"/>
      <c r="F42" s="83"/>
      <c r="G42" s="83"/>
      <c r="H42" s="83"/>
      <c r="I42" s="39">
        <f t="shared" si="62"/>
        <v>1.1367485181051418</v>
      </c>
      <c r="J42" s="39">
        <f t="shared" si="4"/>
        <v>1.1760912590556813</v>
      </c>
      <c r="K42" s="67">
        <f t="shared" si="0"/>
        <v>3.3452115767044335</v>
      </c>
      <c r="L42" s="84"/>
      <c r="M42" s="67">
        <f t="shared" si="1"/>
        <v>96.654788423295571</v>
      </c>
      <c r="N42" s="82"/>
      <c r="O42" s="39">
        <f t="shared" si="2"/>
        <v>13.700881752673373</v>
      </c>
      <c r="P42">
        <v>15</v>
      </c>
      <c r="Q42" s="67">
        <f t="shared" si="5"/>
        <v>8.6607883155108443</v>
      </c>
      <c r="R42" s="84"/>
      <c r="S42" s="67">
        <f t="shared" si="6"/>
        <v>91.339211684489158</v>
      </c>
      <c r="T42" s="82"/>
      <c r="U42" s="82"/>
      <c r="V42" s="82"/>
    </row>
    <row r="43" spans="1:22" x14ac:dyDescent="0.25">
      <c r="A43" t="s">
        <v>192</v>
      </c>
      <c r="B43" s="39">
        <v>0.89232963639251062</v>
      </c>
      <c r="C43" s="83">
        <f t="shared" ref="C43" si="63">AVERAGE(B43:B45)</f>
        <v>0.87936853364134659</v>
      </c>
      <c r="D43" s="83">
        <f t="shared" ref="D43" si="64">_xlfn.STDEV.S(B43:B45)</f>
        <v>1.1278939598835438E-2</v>
      </c>
      <c r="E43" s="83">
        <f t="shared" ref="E43" si="65">100*D43/C43</f>
        <v>1.2826180568607417</v>
      </c>
      <c r="F43" s="83"/>
      <c r="G43" s="83"/>
      <c r="H43" s="83"/>
      <c r="I43" s="39">
        <f>(B43-H$9)/G$9</f>
        <v>1.3800920134447412</v>
      </c>
      <c r="J43" s="39">
        <f t="shared" si="4"/>
        <v>1.1760912590556813</v>
      </c>
      <c r="K43" s="67">
        <f t="shared" si="0"/>
        <v>17.345656879795037</v>
      </c>
      <c r="L43" s="84"/>
      <c r="M43" s="67">
        <f t="shared" si="1"/>
        <v>117.34565687979504</v>
      </c>
      <c r="N43" s="82"/>
      <c r="O43" s="39">
        <f t="shared" si="2"/>
        <v>23.993412106820472</v>
      </c>
      <c r="P43">
        <v>15</v>
      </c>
      <c r="Q43" s="67">
        <f t="shared" si="5"/>
        <v>59.956080712136483</v>
      </c>
      <c r="R43" s="84"/>
      <c r="S43" s="67">
        <f t="shared" si="6"/>
        <v>159.95608071213647</v>
      </c>
      <c r="T43" s="82"/>
      <c r="U43" s="82"/>
      <c r="V43" s="82"/>
    </row>
    <row r="44" spans="1:22" x14ac:dyDescent="0.25">
      <c r="A44" t="s">
        <v>193</v>
      </c>
      <c r="B44" s="39">
        <v>0.87399335101849196</v>
      </c>
      <c r="C44" s="83"/>
      <c r="D44" s="83"/>
      <c r="E44" s="83"/>
      <c r="F44" s="83"/>
      <c r="G44" s="83"/>
      <c r="H44" s="83"/>
      <c r="I44" s="39">
        <f t="shared" ref="I44:I45" si="66">(B44-H$9)/G$9</f>
        <v>1.2563653914878001</v>
      </c>
      <c r="J44" s="39">
        <f t="shared" si="4"/>
        <v>1.1760912590556813</v>
      </c>
      <c r="K44" s="67">
        <f t="shared" si="0"/>
        <v>6.8255020019937289</v>
      </c>
      <c r="L44" s="84"/>
      <c r="M44" s="67">
        <f t="shared" si="1"/>
        <v>106.82550200199373</v>
      </c>
      <c r="N44" s="82"/>
      <c r="O44" s="39">
        <f t="shared" si="2"/>
        <v>18.045353391303117</v>
      </c>
      <c r="P44">
        <v>15</v>
      </c>
      <c r="Q44" s="67">
        <f t="shared" si="5"/>
        <v>20.302355942020778</v>
      </c>
      <c r="R44" s="84"/>
      <c r="S44" s="67">
        <f t="shared" si="6"/>
        <v>120.30235594202078</v>
      </c>
      <c r="T44" s="82"/>
      <c r="U44" s="82"/>
      <c r="V44" s="82"/>
    </row>
    <row r="45" spans="1:22" x14ac:dyDescent="0.25">
      <c r="A45" t="s">
        <v>194</v>
      </c>
      <c r="B45" s="39">
        <v>0.87178261351303743</v>
      </c>
      <c r="C45" s="83"/>
      <c r="D45" s="83"/>
      <c r="E45" s="83"/>
      <c r="F45" s="83"/>
      <c r="G45" s="83"/>
      <c r="H45" s="83"/>
      <c r="I45" s="39">
        <f t="shared" si="66"/>
        <v>1.2414481343659749</v>
      </c>
      <c r="J45" s="39">
        <f t="shared" si="4"/>
        <v>1.1760912590556813</v>
      </c>
      <c r="K45" s="67">
        <f t="shared" si="0"/>
        <v>5.5571261844740292</v>
      </c>
      <c r="L45" s="84"/>
      <c r="M45" s="67">
        <f t="shared" si="1"/>
        <v>105.55712618447403</v>
      </c>
      <c r="N45" s="82"/>
      <c r="O45" s="39">
        <f t="shared" si="2"/>
        <v>17.436051149282246</v>
      </c>
      <c r="P45">
        <v>15</v>
      </c>
      <c r="Q45" s="67">
        <f t="shared" si="5"/>
        <v>16.240340995214975</v>
      </c>
      <c r="R45" s="84"/>
      <c r="S45" s="67">
        <f t="shared" si="6"/>
        <v>116.24034099521496</v>
      </c>
      <c r="T45" s="82"/>
      <c r="U45" s="82"/>
      <c r="V45" s="82"/>
    </row>
    <row r="46" spans="1:22" x14ac:dyDescent="0.25">
      <c r="A46" t="s">
        <v>195</v>
      </c>
      <c r="B46" s="39">
        <v>0.83333334512595836</v>
      </c>
      <c r="C46" s="83">
        <f t="shared" ref="C46" si="67">AVERAGE(B46:B48)</f>
        <v>0.83941540499303502</v>
      </c>
      <c r="D46" s="83">
        <f t="shared" ref="D46" si="68">_xlfn.STDEV.S(B46:B48)</f>
        <v>2.5436885221183956E-2</v>
      </c>
      <c r="E46" s="83">
        <f t="shared" ref="E46" si="69">100*D46/C46</f>
        <v>3.0303095547067089</v>
      </c>
      <c r="F46" s="83"/>
      <c r="G46" s="83"/>
      <c r="H46" s="83"/>
      <c r="I46" s="39">
        <f>(B46-H$10)/G$10</f>
        <v>1.1731170107737727</v>
      </c>
      <c r="J46" s="39">
        <f t="shared" si="4"/>
        <v>1.1760912590556813</v>
      </c>
      <c r="K46" s="67">
        <f t="shared" si="0"/>
        <v>0.25289264408756279</v>
      </c>
      <c r="L46" s="84"/>
      <c r="M46" s="67">
        <f t="shared" si="1"/>
        <v>99.747107355912448</v>
      </c>
      <c r="N46" s="82"/>
      <c r="O46" s="39">
        <f t="shared" si="2"/>
        <v>14.897624062523086</v>
      </c>
      <c r="P46">
        <v>15</v>
      </c>
      <c r="Q46" s="67">
        <f t="shared" si="5"/>
        <v>0.68250624984609465</v>
      </c>
      <c r="R46" s="84"/>
      <c r="S46" s="67">
        <f t="shared" si="6"/>
        <v>99.317493750153915</v>
      </c>
      <c r="T46" s="82"/>
      <c r="U46" s="82"/>
      <c r="V46" s="82"/>
    </row>
    <row r="47" spans="1:22" x14ac:dyDescent="0.25">
      <c r="A47" t="s">
        <v>196</v>
      </c>
      <c r="B47" s="39">
        <v>0.81757086600429107</v>
      </c>
      <c r="C47" s="83"/>
      <c r="D47" s="83"/>
      <c r="E47" s="83"/>
      <c r="F47" s="83"/>
      <c r="G47" s="83"/>
      <c r="H47" s="83"/>
      <c r="I47" s="39">
        <f t="shared" ref="I47:I48" si="70">(B47-H$10)/G$10</f>
        <v>1.0747245068932028</v>
      </c>
      <c r="J47" s="39">
        <f t="shared" si="4"/>
        <v>1.1760912590556813</v>
      </c>
      <c r="K47" s="67">
        <f t="shared" si="0"/>
        <v>8.618952941106711</v>
      </c>
      <c r="L47" s="84"/>
      <c r="M47" s="67">
        <f t="shared" si="1"/>
        <v>91.381047058893301</v>
      </c>
      <c r="N47" s="82"/>
      <c r="O47" s="39">
        <f t="shared" si="2"/>
        <v>11.877485444948963</v>
      </c>
      <c r="P47">
        <v>15</v>
      </c>
      <c r="Q47" s="67">
        <f t="shared" si="5"/>
        <v>20.816763700340246</v>
      </c>
      <c r="R47" s="84"/>
      <c r="S47" s="67">
        <f t="shared" si="6"/>
        <v>79.183236299659754</v>
      </c>
      <c r="T47" s="82"/>
      <c r="U47" s="82"/>
      <c r="V47" s="82"/>
    </row>
    <row r="48" spans="1:22" x14ac:dyDescent="0.25">
      <c r="A48" t="s">
        <v>197</v>
      </c>
      <c r="B48" s="39">
        <v>0.86734200384885551</v>
      </c>
      <c r="C48" s="83"/>
      <c r="D48" s="83"/>
      <c r="E48" s="83"/>
      <c r="F48" s="83"/>
      <c r="G48" s="83"/>
      <c r="H48" s="83"/>
      <c r="I48" s="39">
        <f t="shared" si="70"/>
        <v>1.3854057668467885</v>
      </c>
      <c r="J48" s="39">
        <f t="shared" si="4"/>
        <v>1.1760912590556813</v>
      </c>
      <c r="K48" s="67">
        <f t="shared" si="0"/>
        <v>17.797471597499332</v>
      </c>
      <c r="L48" s="84"/>
      <c r="M48" s="67">
        <f t="shared" si="1"/>
        <v>117.79747159749934</v>
      </c>
      <c r="N48" s="82"/>
      <c r="O48" s="39">
        <f t="shared" si="2"/>
        <v>24.288783671670494</v>
      </c>
      <c r="P48">
        <v>15</v>
      </c>
      <c r="Q48" s="67">
        <f t="shared" si="5"/>
        <v>61.925224477803297</v>
      </c>
      <c r="R48" s="84"/>
      <c r="S48" s="67">
        <f t="shared" si="6"/>
        <v>161.92522447780328</v>
      </c>
      <c r="T48" s="82"/>
      <c r="U48" s="82"/>
      <c r="V48" s="82"/>
    </row>
    <row r="49" spans="1:22" x14ac:dyDescent="0.25">
      <c r="A49" t="s">
        <v>198</v>
      </c>
      <c r="B49" s="39">
        <v>0.71630534627960074</v>
      </c>
      <c r="C49" s="83">
        <f t="shared" ref="C49" si="71">AVERAGE(B49:B51)</f>
        <v>0.68325701545698758</v>
      </c>
      <c r="D49" s="83">
        <f t="shared" ref="D49" si="72">_xlfn.STDEV.S(B49:B51)</f>
        <v>6.0742703877224073E-2</v>
      </c>
      <c r="E49" s="83">
        <f t="shared" ref="E49" si="73">100*D49/C49</f>
        <v>8.89016907299475</v>
      </c>
      <c r="F49" s="83">
        <f t="shared" ref="F49" si="74">AVERAGE(E49:E57)</f>
        <v>10.363883185465236</v>
      </c>
      <c r="G49" s="83">
        <f t="shared" ref="G49" si="75">_xlfn.STDEV.S(E49:E57)</f>
        <v>4.2027929062523919</v>
      </c>
      <c r="H49" s="83">
        <f t="shared" ref="H49" si="76">100*_xlfn.STDEV.S(B49:B57)/AVERAGE(B49:B57)</f>
        <v>9.5278842627942115</v>
      </c>
      <c r="I49" s="39">
        <f>(B49-H$8)/G$8</f>
        <v>0.19288216015070689</v>
      </c>
      <c r="J49" s="39">
        <f t="shared" si="4"/>
        <v>0.69897000433601886</v>
      </c>
      <c r="K49" s="67">
        <f t="shared" si="0"/>
        <v>72.404801500182572</v>
      </c>
      <c r="L49" s="84">
        <f t="shared" ref="L49" si="77">AVERAGE(K49:K57)</f>
        <v>90.232080500224512</v>
      </c>
      <c r="M49" s="67">
        <f t="shared" si="1"/>
        <v>27.595198499817428</v>
      </c>
      <c r="N49" s="82">
        <f t="shared" ref="N49" si="78">AVERAGE(M49:M57)</f>
        <v>9.7679194997754948</v>
      </c>
      <c r="O49" s="39">
        <f t="shared" si="2"/>
        <v>1.559129397056406</v>
      </c>
      <c r="P49">
        <v>5</v>
      </c>
      <c r="Q49" s="67">
        <f t="shared" si="5"/>
        <v>68.817412058871881</v>
      </c>
      <c r="R49" s="84">
        <f t="shared" ref="R49:T49" si="79">AVERAGE(Q49:Q57)</f>
        <v>67.180326979834092</v>
      </c>
      <c r="S49" s="67">
        <f t="shared" si="6"/>
        <v>31.182587941128123</v>
      </c>
      <c r="T49" s="82">
        <f t="shared" si="79"/>
        <v>32.819673020165901</v>
      </c>
      <c r="U49" s="82">
        <f>100*_xlfn.STDEV.S(I49:I57)/AVERAGE(I49:I57)</f>
        <v>646.52493280414319</v>
      </c>
      <c r="V49" s="82">
        <f>100*_xlfn.STDEV.S(O49:O57)/AVERAGE(O49:O57)</f>
        <v>69.388731200338214</v>
      </c>
    </row>
    <row r="50" spans="1:22" x14ac:dyDescent="0.25">
      <c r="A50" t="s">
        <v>199</v>
      </c>
      <c r="B50" s="39">
        <v>0.61315550458423185</v>
      </c>
      <c r="C50" s="83"/>
      <c r="D50" s="83"/>
      <c r="E50" s="83"/>
      <c r="F50" s="83"/>
      <c r="G50" s="83"/>
      <c r="H50" s="83"/>
      <c r="I50" s="39">
        <f t="shared" ref="I50:I51" si="80">(B50-H$8)/G$8</f>
        <v>-0.46580137557961815</v>
      </c>
      <c r="J50" s="39">
        <f t="shared" si="4"/>
        <v>0.69897000433601886</v>
      </c>
      <c r="K50" s="67">
        <f t="shared" si="0"/>
        <v>166.64111087601</v>
      </c>
      <c r="L50" s="84"/>
      <c r="M50" s="67">
        <f t="shared" si="1"/>
        <v>-66.641110876009989</v>
      </c>
      <c r="N50" s="82"/>
      <c r="O50" s="39">
        <f t="shared" si="2"/>
        <v>0.34213588245617876</v>
      </c>
      <c r="P50">
        <v>5</v>
      </c>
      <c r="Q50" s="67">
        <f t="shared" si="5"/>
        <v>93.157282350876415</v>
      </c>
      <c r="R50" s="84"/>
      <c r="S50" s="67">
        <f t="shared" si="6"/>
        <v>6.8427176491235757</v>
      </c>
      <c r="T50" s="82"/>
      <c r="U50" s="82"/>
      <c r="V50" s="82"/>
    </row>
    <row r="51" spans="1:22" x14ac:dyDescent="0.25">
      <c r="A51" t="s">
        <v>200</v>
      </c>
      <c r="B51" s="39">
        <v>0.72031019550713027</v>
      </c>
      <c r="C51" s="83"/>
      <c r="D51" s="83"/>
      <c r="E51" s="83"/>
      <c r="F51" s="83"/>
      <c r="G51" s="83"/>
      <c r="H51" s="83"/>
      <c r="I51" s="39">
        <f t="shared" si="80"/>
        <v>0.21845591000721729</v>
      </c>
      <c r="J51" s="39">
        <f t="shared" si="4"/>
        <v>0.69897000433601886</v>
      </c>
      <c r="K51" s="67">
        <f t="shared" si="0"/>
        <v>68.746025058008343</v>
      </c>
      <c r="L51" s="84"/>
      <c r="M51" s="67">
        <f t="shared" si="1"/>
        <v>31.25397494199165</v>
      </c>
      <c r="N51" s="82"/>
      <c r="O51" s="39">
        <f t="shared" si="2"/>
        <v>1.6536968913529451</v>
      </c>
      <c r="P51">
        <v>5</v>
      </c>
      <c r="Q51" s="67">
        <f t="shared" si="5"/>
        <v>66.926062172941087</v>
      </c>
      <c r="R51" s="84"/>
      <c r="S51" s="67">
        <f t="shared" si="6"/>
        <v>33.073937827058899</v>
      </c>
      <c r="T51" s="82"/>
      <c r="U51" s="82"/>
      <c r="V51" s="82"/>
    </row>
    <row r="52" spans="1:22" x14ac:dyDescent="0.25">
      <c r="A52" t="s">
        <v>201</v>
      </c>
      <c r="B52" s="39">
        <v>0.76934381620052494</v>
      </c>
      <c r="C52" s="83">
        <f t="shared" ref="C52" si="81">AVERAGE(B52:B54)</f>
        <v>0.69032649608558438</v>
      </c>
      <c r="D52" s="83">
        <f t="shared" ref="D52" si="82">_xlfn.STDEV.S(B52:B54)</f>
        <v>0.10427424567135293</v>
      </c>
      <c r="E52" s="83">
        <f t="shared" ref="E52" si="83">100*D52/C52</f>
        <v>15.10506206304232</v>
      </c>
      <c r="F52" s="83"/>
      <c r="G52" s="83"/>
      <c r="H52" s="83"/>
      <c r="I52" s="39">
        <f>(B52-H$9)/G$9</f>
        <v>0.55022817949072189</v>
      </c>
      <c r="J52" s="39">
        <f t="shared" si="4"/>
        <v>0.69897000433601886</v>
      </c>
      <c r="K52" s="67">
        <f t="shared" si="0"/>
        <v>21.280144201122493</v>
      </c>
      <c r="L52" s="84"/>
      <c r="M52" s="67">
        <f t="shared" si="1"/>
        <v>78.719855798877504</v>
      </c>
      <c r="N52" s="82"/>
      <c r="O52" s="39">
        <f t="shared" si="2"/>
        <v>3.5499985812543708</v>
      </c>
      <c r="P52">
        <v>5</v>
      </c>
      <c r="Q52" s="67">
        <f t="shared" si="5"/>
        <v>29.000028374912585</v>
      </c>
      <c r="R52" s="84"/>
      <c r="S52" s="67">
        <f t="shared" si="6"/>
        <v>70.999971625087412</v>
      </c>
      <c r="T52" s="82"/>
      <c r="U52" s="82"/>
      <c r="V52" s="82"/>
    </row>
    <row r="53" spans="1:22" x14ac:dyDescent="0.25">
      <c r="A53" t="s">
        <v>202</v>
      </c>
      <c r="B53" s="39">
        <v>0.57213927699378009</v>
      </c>
      <c r="C53" s="83"/>
      <c r="D53" s="83"/>
      <c r="E53" s="83"/>
      <c r="F53" s="83"/>
      <c r="G53" s="83"/>
      <c r="H53" s="83"/>
      <c r="I53" s="39">
        <f>(B53-H$9)/G$9</f>
        <v>-0.78043672743738113</v>
      </c>
      <c r="J53" s="39">
        <f t="shared" si="4"/>
        <v>0.69897000433601886</v>
      </c>
      <c r="K53" s="67">
        <f t="shared" si="0"/>
        <v>211.65525310041753</v>
      </c>
      <c r="L53" s="84"/>
      <c r="M53" s="67">
        <f t="shared" si="1"/>
        <v>-111.65525310041751</v>
      </c>
      <c r="N53" s="82"/>
      <c r="O53" s="39">
        <f t="shared" si="2"/>
        <v>0.16579188622153018</v>
      </c>
      <c r="P53">
        <v>5</v>
      </c>
      <c r="Q53" s="67">
        <f t="shared" si="5"/>
        <v>96.684162275569392</v>
      </c>
      <c r="R53" s="84"/>
      <c r="S53" s="67">
        <f t="shared" si="6"/>
        <v>3.3158377244306037</v>
      </c>
      <c r="T53" s="82"/>
      <c r="U53" s="82"/>
      <c r="V53" s="82"/>
    </row>
    <row r="54" spans="1:22" x14ac:dyDescent="0.25">
      <c r="A54" t="s">
        <v>203</v>
      </c>
      <c r="B54" s="39">
        <v>0.72949639506244834</v>
      </c>
      <c r="C54" s="83"/>
      <c r="D54" s="83"/>
      <c r="E54" s="83"/>
      <c r="F54" s="83"/>
      <c r="G54" s="83"/>
      <c r="H54" s="83"/>
      <c r="I54" s="39">
        <f t="shared" ref="I54" si="84">(B54-H$9)/G$9</f>
        <v>0.28135219340383522</v>
      </c>
      <c r="J54" s="39">
        <f t="shared" si="4"/>
        <v>0.69897000433601886</v>
      </c>
      <c r="K54" s="67">
        <f t="shared" si="0"/>
        <v>59.747601233460145</v>
      </c>
      <c r="L54" s="84"/>
      <c r="M54" s="67">
        <f t="shared" si="1"/>
        <v>40.252398766539855</v>
      </c>
      <c r="N54" s="82"/>
      <c r="O54" s="39">
        <f t="shared" si="2"/>
        <v>1.9114026923290357</v>
      </c>
      <c r="P54">
        <v>5</v>
      </c>
      <c r="Q54" s="67">
        <f t="shared" si="5"/>
        <v>61.771946153419286</v>
      </c>
      <c r="R54" s="84"/>
      <c r="S54" s="67">
        <f t="shared" si="6"/>
        <v>38.228053846580714</v>
      </c>
      <c r="T54" s="82"/>
      <c r="U54" s="82"/>
      <c r="V54" s="82"/>
    </row>
    <row r="55" spans="1:22" x14ac:dyDescent="0.25">
      <c r="A55" t="s">
        <v>204</v>
      </c>
      <c r="B55" s="39">
        <v>0.72326729930700018</v>
      </c>
      <c r="C55" s="83">
        <f t="shared" ref="C55" si="85">AVERAGE(B55:B57)</f>
        <v>0.67839015186705331</v>
      </c>
      <c r="D55" s="83">
        <f t="shared" ref="D55" si="86">_xlfn.STDEV.S(B55:B57)</f>
        <v>4.8141403698992481E-2</v>
      </c>
      <c r="E55" s="83">
        <f t="shared" ref="E55" si="87">100*D55/C55</f>
        <v>7.096418420358634</v>
      </c>
      <c r="F55" s="83"/>
      <c r="G55" s="83"/>
      <c r="H55" s="83"/>
      <c r="I55" s="39">
        <f>(B55-H$10)/G$10</f>
        <v>0.48606304186641824</v>
      </c>
      <c r="J55" s="39">
        <f t="shared" si="4"/>
        <v>0.69897000433601886</v>
      </c>
      <c r="K55" s="67">
        <f t="shared" si="0"/>
        <v>30.460100025586929</v>
      </c>
      <c r="L55" s="84"/>
      <c r="M55" s="67">
        <f t="shared" si="1"/>
        <v>69.539899974413075</v>
      </c>
      <c r="N55" s="82"/>
      <c r="O55" s="39">
        <f t="shared" si="2"/>
        <v>3.0624079383037213</v>
      </c>
      <c r="P55">
        <v>5</v>
      </c>
      <c r="Q55" s="67">
        <f t="shared" si="5"/>
        <v>38.751841233925575</v>
      </c>
      <c r="R55" s="84"/>
      <c r="S55" s="67">
        <f t="shared" si="6"/>
        <v>61.248158766074425</v>
      </c>
      <c r="T55" s="82"/>
      <c r="U55" s="82"/>
      <c r="V55" s="82"/>
    </row>
    <row r="56" spans="1:22" x14ac:dyDescent="0.25">
      <c r="A56" t="s">
        <v>205</v>
      </c>
      <c r="B56" s="39">
        <v>0.62754161548696152</v>
      </c>
      <c r="C56" s="83"/>
      <c r="D56" s="83"/>
      <c r="E56" s="83"/>
      <c r="F56" s="83"/>
      <c r="G56" s="83"/>
      <c r="H56" s="83"/>
      <c r="I56" s="39">
        <f t="shared" ref="I56:I57" si="88">(B56-H$10)/G$10</f>
        <v>-0.11147555875804276</v>
      </c>
      <c r="J56" s="39">
        <f t="shared" si="4"/>
        <v>0.69897000433601886</v>
      </c>
      <c r="K56" s="67">
        <f t="shared" si="0"/>
        <v>115.94854687132647</v>
      </c>
      <c r="L56" s="84"/>
      <c r="M56" s="67">
        <f t="shared" si="1"/>
        <v>-15.948546871326489</v>
      </c>
      <c r="N56" s="82"/>
      <c r="O56" s="39">
        <f t="shared" si="2"/>
        <v>0.77361421504112238</v>
      </c>
      <c r="P56">
        <v>5</v>
      </c>
      <c r="Q56" s="67">
        <f t="shared" si="5"/>
        <v>84.527715699177563</v>
      </c>
      <c r="R56" s="84"/>
      <c r="S56" s="67">
        <f t="shared" si="6"/>
        <v>15.472284300822448</v>
      </c>
      <c r="T56" s="82"/>
      <c r="U56" s="82"/>
      <c r="V56" s="82"/>
    </row>
    <row r="57" spans="1:22" x14ac:dyDescent="0.25">
      <c r="A57" t="s">
        <v>206</v>
      </c>
      <c r="B57" s="39">
        <v>0.68436154080719824</v>
      </c>
      <c r="C57" s="83"/>
      <c r="D57" s="83"/>
      <c r="E57" s="83"/>
      <c r="F57" s="83"/>
      <c r="G57" s="83"/>
      <c r="H57" s="83"/>
      <c r="I57" s="39">
        <f t="shared" si="88"/>
        <v>0.2432056230162189</v>
      </c>
      <c r="J57" s="39">
        <f t="shared" si="4"/>
        <v>0.69897000433601886</v>
      </c>
      <c r="K57" s="67">
        <f t="shared" si="0"/>
        <v>65.205141635906088</v>
      </c>
      <c r="L57" s="84"/>
      <c r="M57" s="67">
        <f t="shared" si="1"/>
        <v>34.794858364093919</v>
      </c>
      <c r="N57" s="82"/>
      <c r="O57" s="39">
        <f t="shared" si="2"/>
        <v>1.7506753750593487</v>
      </c>
      <c r="P57">
        <v>5</v>
      </c>
      <c r="Q57" s="67">
        <f t="shared" si="5"/>
        <v>64.986492498813035</v>
      </c>
      <c r="R57" s="84"/>
      <c r="S57" s="67">
        <f t="shared" si="6"/>
        <v>35.013507501186972</v>
      </c>
      <c r="T57" s="82"/>
      <c r="U57" s="82"/>
      <c r="V57" s="82"/>
    </row>
  </sheetData>
  <mergeCells count="90">
    <mergeCell ref="T13:T21"/>
    <mergeCell ref="T22:T30"/>
    <mergeCell ref="T31:T39"/>
    <mergeCell ref="T40:T48"/>
    <mergeCell ref="T49:T57"/>
    <mergeCell ref="N13:N21"/>
    <mergeCell ref="N22:N30"/>
    <mergeCell ref="N31:N39"/>
    <mergeCell ref="N40:N48"/>
    <mergeCell ref="N49:N57"/>
    <mergeCell ref="R13:R21"/>
    <mergeCell ref="R22:R30"/>
    <mergeCell ref="R31:R39"/>
    <mergeCell ref="R40:R48"/>
    <mergeCell ref="R49:R57"/>
    <mergeCell ref="L13:L21"/>
    <mergeCell ref="L22:L30"/>
    <mergeCell ref="L31:L39"/>
    <mergeCell ref="L40:L48"/>
    <mergeCell ref="L49:L57"/>
    <mergeCell ref="G40:G48"/>
    <mergeCell ref="F49:F57"/>
    <mergeCell ref="G49:G57"/>
    <mergeCell ref="H13:H21"/>
    <mergeCell ref="H22:H30"/>
    <mergeCell ref="H31:H39"/>
    <mergeCell ref="H40:H48"/>
    <mergeCell ref="H49:H57"/>
    <mergeCell ref="C55:C57"/>
    <mergeCell ref="D55:D57"/>
    <mergeCell ref="E55:E57"/>
    <mergeCell ref="F13:F21"/>
    <mergeCell ref="G13:G21"/>
    <mergeCell ref="F22:F30"/>
    <mergeCell ref="G22:G30"/>
    <mergeCell ref="F31:F39"/>
    <mergeCell ref="G31:G39"/>
    <mergeCell ref="F40:F48"/>
    <mergeCell ref="C49:C51"/>
    <mergeCell ref="D49:D51"/>
    <mergeCell ref="E49:E51"/>
    <mergeCell ref="C52:C54"/>
    <mergeCell ref="D52:D54"/>
    <mergeCell ref="E52:E54"/>
    <mergeCell ref="C43:C45"/>
    <mergeCell ref="D43:D45"/>
    <mergeCell ref="E43:E45"/>
    <mergeCell ref="C46:C48"/>
    <mergeCell ref="D46:D48"/>
    <mergeCell ref="E46:E48"/>
    <mergeCell ref="C37:C39"/>
    <mergeCell ref="D37:D39"/>
    <mergeCell ref="E37:E39"/>
    <mergeCell ref="C40:C42"/>
    <mergeCell ref="D40:D42"/>
    <mergeCell ref="E40:E42"/>
    <mergeCell ref="C31:C33"/>
    <mergeCell ref="D31:D33"/>
    <mergeCell ref="E31:E33"/>
    <mergeCell ref="C34:C36"/>
    <mergeCell ref="D34:D36"/>
    <mergeCell ref="E34:E36"/>
    <mergeCell ref="C25:C27"/>
    <mergeCell ref="D25:D27"/>
    <mergeCell ref="E25:E27"/>
    <mergeCell ref="C28:C30"/>
    <mergeCell ref="D28:D30"/>
    <mergeCell ref="E28:E30"/>
    <mergeCell ref="C19:C21"/>
    <mergeCell ref="D19:D21"/>
    <mergeCell ref="E19:E21"/>
    <mergeCell ref="C22:C24"/>
    <mergeCell ref="D22:D24"/>
    <mergeCell ref="E22:E24"/>
    <mergeCell ref="C13:C15"/>
    <mergeCell ref="D13:D15"/>
    <mergeCell ref="E13:E15"/>
    <mergeCell ref="C16:C18"/>
    <mergeCell ref="D16:D18"/>
    <mergeCell ref="E16:E18"/>
    <mergeCell ref="V13:V21"/>
    <mergeCell ref="V22:V30"/>
    <mergeCell ref="V31:V39"/>
    <mergeCell ref="V40:V48"/>
    <mergeCell ref="V49:V57"/>
    <mergeCell ref="U13:U21"/>
    <mergeCell ref="U22:U30"/>
    <mergeCell ref="U31:U39"/>
    <mergeCell ref="U40:U48"/>
    <mergeCell ref="U49:U57"/>
  </mergeCells>
  <phoneticPr fontId="1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052D0-0B07-4F85-8439-BAFC14B80F21}">
  <dimension ref="A1:AN70"/>
  <sheetViews>
    <sheetView zoomScale="60" zoomScaleNormal="60" workbookViewId="0">
      <selection activeCell="R24" sqref="R24"/>
    </sheetView>
  </sheetViews>
  <sheetFormatPr defaultRowHeight="15" x14ac:dyDescent="0.25"/>
  <cols>
    <col min="1" max="1" width="12.42578125" bestFit="1" customWidth="1"/>
    <col min="3" max="3" width="15.28515625" bestFit="1" customWidth="1"/>
    <col min="4" max="4" width="15.28515625" customWidth="1"/>
    <col min="5" max="5" width="13.42578125" bestFit="1" customWidth="1"/>
    <col min="6" max="6" width="14.5703125" bestFit="1" customWidth="1"/>
    <col min="7" max="7" width="13.7109375" bestFit="1" customWidth="1"/>
    <col min="8" max="8" width="12.7109375" bestFit="1" customWidth="1"/>
    <col min="9" max="9" width="12" bestFit="1" customWidth="1"/>
    <col min="10" max="10" width="18.42578125" bestFit="1" customWidth="1"/>
    <col min="12" max="12" width="19.5703125" bestFit="1" customWidth="1"/>
    <col min="13" max="13" width="12.28515625" customWidth="1"/>
    <col min="15" max="15" width="8.42578125" customWidth="1"/>
    <col min="17" max="17" width="9.7109375" customWidth="1"/>
    <col min="18" max="19" width="10.28515625" customWidth="1"/>
    <col min="20" max="20" width="19.7109375" style="39" bestFit="1" customWidth="1"/>
    <col min="21" max="21" width="14.28515625" bestFit="1" customWidth="1"/>
    <col min="23" max="23" width="15.28515625" bestFit="1" customWidth="1"/>
    <col min="24" max="24" width="13.28515625" bestFit="1" customWidth="1"/>
    <col min="26" max="26" width="12" customWidth="1"/>
    <col min="27" max="27" width="14.28515625" customWidth="1"/>
    <col min="28" max="28" width="19.7109375" bestFit="1" customWidth="1"/>
    <col min="29" max="29" width="16.42578125" bestFit="1" customWidth="1"/>
    <col min="30" max="30" width="15.5703125" bestFit="1" customWidth="1"/>
    <col min="31" max="31" width="7.7109375" bestFit="1" customWidth="1"/>
    <col min="32" max="32" width="7.7109375" customWidth="1"/>
    <col min="33" max="33" width="14.28515625" bestFit="1" customWidth="1"/>
    <col min="34" max="34" width="12.140625" customWidth="1"/>
    <col min="35" max="35" width="11.28515625" bestFit="1" customWidth="1"/>
    <col min="40" max="40" width="12.140625" bestFit="1" customWidth="1"/>
  </cols>
  <sheetData>
    <row r="1" spans="1:35" x14ac:dyDescent="0.25">
      <c r="A1" s="71" t="s">
        <v>140</v>
      </c>
      <c r="B1" s="72"/>
      <c r="C1" s="73"/>
      <c r="D1" s="42"/>
      <c r="F1" s="8"/>
      <c r="G1" s="9"/>
      <c r="H1" s="9"/>
      <c r="I1" s="10"/>
      <c r="J1" s="10"/>
      <c r="L1" t="s">
        <v>50</v>
      </c>
      <c r="T1"/>
      <c r="W1" s="11" t="s">
        <v>81</v>
      </c>
      <c r="X1" s="12" t="s">
        <v>161</v>
      </c>
      <c r="Y1" s="12" t="s">
        <v>82</v>
      </c>
      <c r="Z1" s="12" t="s">
        <v>83</v>
      </c>
      <c r="AA1" s="12" t="s">
        <v>84</v>
      </c>
      <c r="AB1" s="31" t="s">
        <v>141</v>
      </c>
      <c r="AC1" s="13" t="s">
        <v>85</v>
      </c>
      <c r="AD1" s="13" t="s">
        <v>86</v>
      </c>
      <c r="AE1" s="13" t="s">
        <v>84</v>
      </c>
      <c r="AF1" s="31" t="s">
        <v>138</v>
      </c>
      <c r="AG1" s="31" t="s">
        <v>154</v>
      </c>
      <c r="AH1" s="14" t="s">
        <v>87</v>
      </c>
      <c r="AI1" s="13" t="s">
        <v>88</v>
      </c>
    </row>
    <row r="2" spans="1:35" ht="15.75" thickBot="1" x14ac:dyDescent="0.3">
      <c r="A2" s="15" t="s">
        <v>89</v>
      </c>
      <c r="B2" s="16">
        <v>0.155</v>
      </c>
      <c r="C2" s="17"/>
      <c r="D2" s="17"/>
      <c r="F2" s="18" t="s">
        <v>146</v>
      </c>
      <c r="G2" s="19">
        <f>(3.3*N17)/M18</f>
        <v>0.28437380292858616</v>
      </c>
      <c r="H2" s="20" t="s">
        <v>91</v>
      </c>
      <c r="I2" s="21">
        <f>3.3*H5/B2</f>
        <v>3.2440396716455924</v>
      </c>
      <c r="J2" s="20" t="s">
        <v>92</v>
      </c>
      <c r="T2"/>
      <c r="W2" s="22" t="s">
        <v>151</v>
      </c>
      <c r="X2" s="23">
        <v>1.005382901395304</v>
      </c>
      <c r="Y2" s="75">
        <f>AVERAGE(X2:X4)</f>
        <v>1.0054015939502357</v>
      </c>
      <c r="Z2" s="75">
        <f>_xlfn.STDEV.S(X2:X4)</f>
        <v>1.7897805676866901E-3</v>
      </c>
      <c r="AA2" s="70">
        <f>100*Z2/Y2</f>
        <v>0.17801648400562203</v>
      </c>
      <c r="AB2" s="45">
        <v>2.0388435593569856</v>
      </c>
      <c r="AC2" s="69">
        <f>AVERAGE(AB2:AB4)</f>
        <v>2.1433770688274953</v>
      </c>
      <c r="AD2" s="69">
        <f>_xlfn.STDEV.S(AB2:AB4)</f>
        <v>9.9152103742705944E-2</v>
      </c>
      <c r="AE2" s="70">
        <f>100*AD2/AC2</f>
        <v>4.62597576435516</v>
      </c>
      <c r="AF2" s="25">
        <v>160</v>
      </c>
      <c r="AG2" s="34">
        <f>LOG10(AF2)</f>
        <v>2.2041199826559246</v>
      </c>
      <c r="AH2" s="24">
        <f>100*ABS((AG2-AB2)/AG2)</f>
        <v>7.4985220677407911</v>
      </c>
      <c r="AI2" s="70">
        <f>AVERAGE(AH2:AH4)</f>
        <v>3.7227853597074207</v>
      </c>
    </row>
    <row r="3" spans="1:35" x14ac:dyDescent="0.25">
      <c r="A3" s="26" t="s">
        <v>94</v>
      </c>
      <c r="B3" s="27">
        <v>0.67310000000000003</v>
      </c>
      <c r="C3" s="10"/>
      <c r="D3" s="10"/>
      <c r="F3" s="28" t="s">
        <v>147</v>
      </c>
      <c r="G3" s="29">
        <f>(10*N17)/M18</f>
        <v>0.86173879675329157</v>
      </c>
      <c r="H3" s="30" t="s">
        <v>96</v>
      </c>
      <c r="I3" s="21">
        <f>10*H5/B2</f>
        <v>9.8304232474108861</v>
      </c>
      <c r="J3" s="30" t="s">
        <v>97</v>
      </c>
      <c r="L3" s="6" t="s">
        <v>51</v>
      </c>
      <c r="M3" s="6"/>
      <c r="T3"/>
      <c r="W3" s="22" t="s">
        <v>152</v>
      </c>
      <c r="X3" s="23">
        <v>1.0072006475841599</v>
      </c>
      <c r="Y3" s="75"/>
      <c r="Z3" s="75"/>
      <c r="AA3" s="70"/>
      <c r="AB3" s="45">
        <v>2.1552000511751688</v>
      </c>
      <c r="AC3" s="69"/>
      <c r="AD3" s="69"/>
      <c r="AE3" s="70"/>
      <c r="AF3" s="25">
        <v>160</v>
      </c>
      <c r="AG3" s="34">
        <f t="shared" ref="AG3:AG16" si="0">LOG10(AF3)</f>
        <v>2.2041199826559246</v>
      </c>
      <c r="AH3" s="24">
        <f t="shared" ref="AH3:AH10" si="1">100*ABS((AG3-AB3)/AG3)</f>
        <v>2.2194767919035048</v>
      </c>
      <c r="AI3" s="70"/>
    </row>
    <row r="4" spans="1:35" x14ac:dyDescent="0.25">
      <c r="A4" s="31" t="s">
        <v>81</v>
      </c>
      <c r="B4" s="32" t="s">
        <v>99</v>
      </c>
      <c r="C4" s="31" t="s">
        <v>138</v>
      </c>
      <c r="D4" s="31" t="s">
        <v>139</v>
      </c>
      <c r="E4" s="32" t="s">
        <v>161</v>
      </c>
      <c r="F4" s="31" t="s">
        <v>141</v>
      </c>
      <c r="G4" s="31" t="s">
        <v>142</v>
      </c>
      <c r="H4" s="31" t="s">
        <v>143</v>
      </c>
      <c r="I4" s="31" t="s">
        <v>100</v>
      </c>
      <c r="J4" s="31" t="s">
        <v>101</v>
      </c>
      <c r="L4" t="s">
        <v>52</v>
      </c>
      <c r="M4">
        <v>0.97585096954380623</v>
      </c>
      <c r="T4"/>
      <c r="W4" s="22" t="s">
        <v>153</v>
      </c>
      <c r="X4" s="23">
        <v>1.0036212328712431</v>
      </c>
      <c r="Y4" s="75"/>
      <c r="Z4" s="75"/>
      <c r="AA4" s="70"/>
      <c r="AB4" s="45">
        <v>2.2360875959503312</v>
      </c>
      <c r="AC4" s="69"/>
      <c r="AD4" s="69"/>
      <c r="AE4" s="70"/>
      <c r="AF4" s="25">
        <v>160</v>
      </c>
      <c r="AG4" s="34">
        <f t="shared" si="0"/>
        <v>2.2041199826559246</v>
      </c>
      <c r="AH4" s="24">
        <f t="shared" si="1"/>
        <v>1.450357219477965</v>
      </c>
      <c r="AI4" s="70"/>
    </row>
    <row r="5" spans="1:35" x14ac:dyDescent="0.25">
      <c r="A5" s="33" t="s">
        <v>103</v>
      </c>
      <c r="B5" s="68" t="s">
        <v>104</v>
      </c>
      <c r="C5" s="25">
        <v>0</v>
      </c>
      <c r="D5" s="25">
        <v>0</v>
      </c>
      <c r="E5" s="23">
        <v>0.66745712933069501</v>
      </c>
      <c r="F5" s="34">
        <f>(E5-B$3)/B$2</f>
        <v>-3.6405617221322725E-2</v>
      </c>
      <c r="G5" s="69">
        <f>AVERAGE(F5:F7)</f>
        <v>-3.2473651969189284E-2</v>
      </c>
      <c r="H5" s="69">
        <f>_xlfn.STDEV.S(F5:F7)</f>
        <v>0.15237156033486873</v>
      </c>
      <c r="I5" s="74">
        <f>100*H5/G5</f>
        <v>-469.21596770032988</v>
      </c>
      <c r="J5" s="68" t="e">
        <f>100*ABS(G5-C5)/C5</f>
        <v>#DIV/0!</v>
      </c>
      <c r="L5" t="s">
        <v>53</v>
      </c>
      <c r="M5">
        <v>0.95228511475958666</v>
      </c>
      <c r="T5"/>
      <c r="W5" s="22" t="s">
        <v>93</v>
      </c>
      <c r="X5" s="23">
        <v>1.0021252415029547</v>
      </c>
      <c r="Y5" s="75">
        <f t="shared" ref="Y5" si="2">AVERAGE(X5:X7)</f>
        <v>0.9905751856164442</v>
      </c>
      <c r="Z5" s="75">
        <f t="shared" ref="Z5" si="3">_xlfn.STDEV.S(X5:X7)</f>
        <v>2.1229751420777803E-2</v>
      </c>
      <c r="AA5" s="70">
        <f t="shared" ref="AA5" si="4">100*Z5/Y5</f>
        <v>2.1431741607343344</v>
      </c>
      <c r="AB5" s="45">
        <v>2.0180411334799149</v>
      </c>
      <c r="AC5" s="69">
        <f t="shared" ref="AC5" si="5">AVERAGE(AB5:AB7)</f>
        <v>2.0500527395951176</v>
      </c>
      <c r="AD5" s="69">
        <f t="shared" ref="AD5" si="6">_xlfn.STDEV.S(AB5:AB7)</f>
        <v>7.0063026790351021E-2</v>
      </c>
      <c r="AE5" s="70">
        <f t="shared" ref="AE5" si="7">100*AD5/AC5</f>
        <v>3.4176207000503003</v>
      </c>
      <c r="AF5" s="25">
        <v>120</v>
      </c>
      <c r="AG5" s="34">
        <f t="shared" si="0"/>
        <v>2.0791812460476247</v>
      </c>
      <c r="AH5" s="24">
        <f t="shared" si="1"/>
        <v>2.9405859967202375</v>
      </c>
      <c r="AI5" s="70">
        <f t="shared" ref="AI5" si="8">AVERAGE(AH5:AH7)</f>
        <v>3.0433450808584031</v>
      </c>
    </row>
    <row r="6" spans="1:35" x14ac:dyDescent="0.25">
      <c r="A6" s="33" t="s">
        <v>106</v>
      </c>
      <c r="B6" s="68"/>
      <c r="C6" s="25">
        <v>0</v>
      </c>
      <c r="D6" s="25">
        <v>0</v>
      </c>
      <c r="E6" s="23">
        <v>0.64475961777828084</v>
      </c>
      <c r="F6" s="34">
        <f t="shared" ref="F6:F25" si="9">(E6-B$3)/B$2</f>
        <v>-0.18284117562399482</v>
      </c>
      <c r="G6" s="69"/>
      <c r="H6" s="69"/>
      <c r="I6" s="74"/>
      <c r="J6" s="68"/>
      <c r="L6" t="s">
        <v>54</v>
      </c>
      <c r="M6">
        <v>0.94930293443206093</v>
      </c>
      <c r="T6"/>
      <c r="W6" s="22" t="s">
        <v>98</v>
      </c>
      <c r="X6" s="23">
        <v>1.0035257952364838</v>
      </c>
      <c r="Y6" s="75"/>
      <c r="Z6" s="75"/>
      <c r="AA6" s="70"/>
      <c r="AB6" s="45">
        <v>2.1304034766294455</v>
      </c>
      <c r="AC6" s="69"/>
      <c r="AD6" s="69"/>
      <c r="AE6" s="70"/>
      <c r="AF6" s="25">
        <v>120</v>
      </c>
      <c r="AG6" s="34">
        <f t="shared" si="0"/>
        <v>2.0791812460476247</v>
      </c>
      <c r="AH6" s="24">
        <f t="shared" si="1"/>
        <v>2.4635769815253314</v>
      </c>
      <c r="AI6" s="70"/>
    </row>
    <row r="7" spans="1:35" x14ac:dyDescent="0.25">
      <c r="A7" s="33" t="s">
        <v>108</v>
      </c>
      <c r="B7" s="68"/>
      <c r="C7" s="25">
        <v>0</v>
      </c>
      <c r="D7" s="25">
        <v>0</v>
      </c>
      <c r="E7" s="23">
        <v>0.69198300472535124</v>
      </c>
      <c r="F7" s="34">
        <f t="shared" si="9"/>
        <v>0.1218258369377497</v>
      </c>
      <c r="G7" s="69"/>
      <c r="H7" s="69"/>
      <c r="I7" s="74"/>
      <c r="J7" s="68"/>
      <c r="L7" t="s">
        <v>55</v>
      </c>
      <c r="M7">
        <v>1.8921737475974278E-2</v>
      </c>
      <c r="T7"/>
      <c r="W7" s="22" t="s">
        <v>102</v>
      </c>
      <c r="X7" s="23">
        <v>0.96607452010989403</v>
      </c>
      <c r="Y7" s="75"/>
      <c r="Z7" s="75"/>
      <c r="AA7" s="70"/>
      <c r="AB7" s="45">
        <v>2.0017136086759928</v>
      </c>
      <c r="AC7" s="69"/>
      <c r="AD7" s="69"/>
      <c r="AE7" s="70"/>
      <c r="AF7" s="25">
        <v>120</v>
      </c>
      <c r="AG7" s="34">
        <f t="shared" si="0"/>
        <v>2.0791812460476247</v>
      </c>
      <c r="AH7" s="24">
        <f t="shared" si="1"/>
        <v>3.7258722643296402</v>
      </c>
      <c r="AI7" s="70"/>
    </row>
    <row r="8" spans="1:35" ht="15.75" thickBot="1" x14ac:dyDescent="0.3">
      <c r="A8" s="33" t="s">
        <v>110</v>
      </c>
      <c r="B8" s="68">
        <v>1</v>
      </c>
      <c r="C8" s="25">
        <v>5</v>
      </c>
      <c r="D8" s="34">
        <f>LOG10(C8)</f>
        <v>0.69897000433601886</v>
      </c>
      <c r="E8" s="23">
        <v>0.77708936960373676</v>
      </c>
      <c r="F8" s="34">
        <f t="shared" si="9"/>
        <v>0.67089915873378536</v>
      </c>
      <c r="G8" s="69">
        <f>AVERAGE(F8:F10)</f>
        <v>0.62793367175037962</v>
      </c>
      <c r="H8" s="69">
        <f>_xlfn.STDEV.S(F8:F10)</f>
        <v>0.11798105856983908</v>
      </c>
      <c r="I8" s="70">
        <f t="shared" ref="I8" si="10">100*H8/G8</f>
        <v>18.788777203325335</v>
      </c>
      <c r="J8" s="70">
        <f>100*ABS(G8-C8)/C8</f>
        <v>87.441326564992409</v>
      </c>
      <c r="L8" s="4" t="s">
        <v>56</v>
      </c>
      <c r="M8" s="4">
        <v>18</v>
      </c>
      <c r="T8"/>
      <c r="W8" s="22" t="s">
        <v>111</v>
      </c>
      <c r="X8" s="23">
        <v>0.9190461435542373</v>
      </c>
      <c r="Y8" s="75">
        <f t="shared" ref="Y8" si="11">AVERAGE(X8:X10)</f>
        <v>0.89307484709538609</v>
      </c>
      <c r="Z8" s="75">
        <f t="shared" ref="Z8" si="12">_xlfn.STDEV.S(X8:X10)</f>
        <v>2.842898630677388E-2</v>
      </c>
      <c r="AA8" s="70">
        <f t="shared" ref="AA8" si="13">100*Z8/Y8</f>
        <v>3.1832702935521691</v>
      </c>
      <c r="AB8" s="45">
        <v>1.4875232666298677</v>
      </c>
      <c r="AC8" s="69">
        <f t="shared" ref="AC8" si="14">AVERAGE(AB8:AB10)</f>
        <v>1.4195952924605371</v>
      </c>
      <c r="AD8" s="69">
        <f t="shared" ref="AD8" si="15">_xlfn.STDEV.S(AB8:AB10)</f>
        <v>6.5671876125266149E-2</v>
      </c>
      <c r="AE8" s="70">
        <f t="shared" ref="AE8" si="16">100*AD8/AC8</f>
        <v>4.6260984714481044</v>
      </c>
      <c r="AF8" s="25">
        <v>30</v>
      </c>
      <c r="AG8" s="34">
        <f t="shared" si="0"/>
        <v>1.4771212547196624</v>
      </c>
      <c r="AH8" s="24">
        <f t="shared" si="1"/>
        <v>0.70420839704046168</v>
      </c>
      <c r="AI8" s="70">
        <f t="shared" ref="AI8" si="17">AVERAGE(AH8:AH10)</f>
        <v>4.3639367221861862</v>
      </c>
    </row>
    <row r="9" spans="1:35" x14ac:dyDescent="0.25">
      <c r="A9" s="33" t="s">
        <v>112</v>
      </c>
      <c r="B9" s="68"/>
      <c r="C9" s="25">
        <v>5</v>
      </c>
      <c r="D9" s="34">
        <f t="shared" ref="D9:D25" si="18">LOG10(C9)</f>
        <v>0.69897000433601886</v>
      </c>
      <c r="E9" s="23">
        <v>0.78445366880642409</v>
      </c>
      <c r="F9" s="34">
        <f t="shared" si="9"/>
        <v>0.71841076649305846</v>
      </c>
      <c r="G9" s="69"/>
      <c r="H9" s="69"/>
      <c r="I9" s="70"/>
      <c r="J9" s="70"/>
      <c r="T9"/>
      <c r="W9" s="22" t="s">
        <v>113</v>
      </c>
      <c r="X9" s="23">
        <v>0.89747672550477786</v>
      </c>
      <c r="Y9" s="75"/>
      <c r="Z9" s="75"/>
      <c r="AA9" s="70"/>
      <c r="AB9" s="45">
        <v>1.4148227092090278</v>
      </c>
      <c r="AC9" s="69"/>
      <c r="AD9" s="69"/>
      <c r="AE9" s="70"/>
      <c r="AF9" s="25">
        <v>30</v>
      </c>
      <c r="AG9" s="34">
        <f t="shared" si="0"/>
        <v>1.4771212547196624</v>
      </c>
      <c r="AH9" s="24">
        <f t="shared" si="1"/>
        <v>4.217564760616626</v>
      </c>
      <c r="AI9" s="70"/>
    </row>
    <row r="10" spans="1:35" ht="15.75" thickBot="1" x14ac:dyDescent="0.3">
      <c r="A10" s="33" t="s">
        <v>114</v>
      </c>
      <c r="B10" s="68"/>
      <c r="C10" s="25">
        <v>5</v>
      </c>
      <c r="D10" s="34">
        <f t="shared" si="18"/>
        <v>0.69897000433601886</v>
      </c>
      <c r="E10" s="23">
        <v>0.74974611895376575</v>
      </c>
      <c r="F10" s="34">
        <f t="shared" si="9"/>
        <v>0.49449109002429498</v>
      </c>
      <c r="G10" s="69"/>
      <c r="H10" s="69"/>
      <c r="I10" s="70"/>
      <c r="J10" s="70"/>
      <c r="L10" t="s">
        <v>57</v>
      </c>
      <c r="T10"/>
      <c r="W10" s="22" t="s">
        <v>115</v>
      </c>
      <c r="X10" s="23">
        <v>0.86270167222714311</v>
      </c>
      <c r="Y10" s="75"/>
      <c r="Z10" s="75"/>
      <c r="AA10" s="70"/>
      <c r="AB10" s="45">
        <v>1.3564399015427162</v>
      </c>
      <c r="AC10" s="69"/>
      <c r="AD10" s="69"/>
      <c r="AE10" s="70"/>
      <c r="AF10" s="25">
        <v>30</v>
      </c>
      <c r="AG10" s="34">
        <f t="shared" si="0"/>
        <v>1.4771212547196624</v>
      </c>
      <c r="AH10" s="24">
        <f t="shared" si="1"/>
        <v>8.1700370089014704</v>
      </c>
      <c r="AI10" s="70"/>
    </row>
    <row r="11" spans="1:35" x14ac:dyDescent="0.25">
      <c r="A11" s="33" t="s">
        <v>116</v>
      </c>
      <c r="B11" s="68">
        <v>2</v>
      </c>
      <c r="C11" s="25">
        <v>10</v>
      </c>
      <c r="D11" s="34">
        <f t="shared" si="18"/>
        <v>1</v>
      </c>
      <c r="E11" s="23">
        <v>0.85402758170175208</v>
      </c>
      <c r="F11" s="34">
        <f t="shared" si="9"/>
        <v>1.1672747206564649</v>
      </c>
      <c r="G11" s="69">
        <f>AVERAGE(F11:F13)</f>
        <v>1.0623970384756092</v>
      </c>
      <c r="H11" s="69">
        <f>_xlfn.STDEV.S(F11:F13)</f>
        <v>0.12990281715024232</v>
      </c>
      <c r="I11" s="70">
        <f t="shared" ref="I11" si="19">100*H11/G11</f>
        <v>12.227332385699667</v>
      </c>
      <c r="J11" s="70">
        <f t="shared" ref="J11" si="20">100*ABS(G11-C11)/C11</f>
        <v>89.376029615243908</v>
      </c>
      <c r="L11" s="5"/>
      <c r="M11" s="5" t="s">
        <v>62</v>
      </c>
      <c r="N11" s="5" t="s">
        <v>63</v>
      </c>
      <c r="O11" s="5" t="s">
        <v>64</v>
      </c>
      <c r="P11" s="5" t="s">
        <v>35</v>
      </c>
      <c r="Q11" s="5" t="s">
        <v>65</v>
      </c>
      <c r="T11"/>
      <c r="W11" s="22" t="s">
        <v>105</v>
      </c>
      <c r="X11" s="23">
        <v>0.85707362630190664</v>
      </c>
      <c r="Y11" s="75">
        <f t="shared" ref="Y11" si="21">AVERAGE(X11:X13)</f>
        <v>0.85861918831209605</v>
      </c>
      <c r="Z11" s="75">
        <f t="shared" ref="Z11" si="22">_xlfn.STDEV.S(X11:X13)</f>
        <v>2.0021355939162547E-2</v>
      </c>
      <c r="AA11" s="70">
        <f t="shared" ref="AA11" si="23">100*Z11/Y11</f>
        <v>2.3318085842597158</v>
      </c>
      <c r="AB11" s="45">
        <v>1.0917856085690076</v>
      </c>
      <c r="AC11" s="69">
        <f t="shared" ref="AC11" si="24">AVERAGE(AB11:AB13)</f>
        <v>1.1985010721688114</v>
      </c>
      <c r="AD11" s="69">
        <f t="shared" ref="AD11" si="25">_xlfn.STDEV.S(AB11:AB13)</f>
        <v>0.10101413491025063</v>
      </c>
      <c r="AE11" s="70">
        <f t="shared" ref="AE11" si="26">100*AD11/AC11</f>
        <v>8.4283725109611396</v>
      </c>
      <c r="AF11" s="25">
        <v>15</v>
      </c>
      <c r="AG11" s="34">
        <f t="shared" si="0"/>
        <v>1.1760912590556813</v>
      </c>
      <c r="AH11" s="24">
        <f t="shared" ref="AH11:AH16" si="27">100*ABS((AG11-AB11)/AG11)</f>
        <v>7.1682915622011523</v>
      </c>
      <c r="AI11" s="70">
        <f t="shared" ref="AI11" si="28">AVERAGE(AH11:AH13)</f>
        <v>6.6843095294634685</v>
      </c>
    </row>
    <row r="12" spans="1:35" x14ac:dyDescent="0.25">
      <c r="A12" s="33" t="s">
        <v>117</v>
      </c>
      <c r="B12" s="68"/>
      <c r="C12" s="25">
        <v>10</v>
      </c>
      <c r="D12" s="34">
        <f t="shared" si="18"/>
        <v>1</v>
      </c>
      <c r="E12" s="23">
        <v>0.8440387117666126</v>
      </c>
      <c r="F12" s="34">
        <f t="shared" si="9"/>
        <v>1.1028303984942747</v>
      </c>
      <c r="G12" s="69"/>
      <c r="H12" s="69"/>
      <c r="I12" s="70"/>
      <c r="J12" s="70"/>
      <c r="L12" t="s">
        <v>58</v>
      </c>
      <c r="M12">
        <v>1</v>
      </c>
      <c r="N12">
        <v>0.11432866183696211</v>
      </c>
      <c r="O12">
        <v>0.11432866183696211</v>
      </c>
      <c r="P12">
        <v>319.32512798434624</v>
      </c>
      <c r="Q12">
        <v>5.3919342490880783E-12</v>
      </c>
      <c r="T12"/>
      <c r="W12" s="22" t="s">
        <v>107</v>
      </c>
      <c r="X12" s="23">
        <v>0.87936853364134659</v>
      </c>
      <c r="Y12" s="75"/>
      <c r="Z12" s="75"/>
      <c r="AA12" s="70"/>
      <c r="AB12" s="45">
        <v>1.2926351797661715</v>
      </c>
      <c r="AC12" s="69"/>
      <c r="AD12" s="69"/>
      <c r="AE12" s="70"/>
      <c r="AF12" s="25">
        <v>15</v>
      </c>
      <c r="AG12" s="34">
        <f t="shared" si="0"/>
        <v>1.1760912590556813</v>
      </c>
      <c r="AH12" s="24">
        <f t="shared" si="27"/>
        <v>9.9094283554208804</v>
      </c>
      <c r="AI12" s="70"/>
    </row>
    <row r="13" spans="1:35" x14ac:dyDescent="0.25">
      <c r="A13" s="33" t="s">
        <v>118</v>
      </c>
      <c r="B13" s="68"/>
      <c r="C13" s="25">
        <v>10</v>
      </c>
      <c r="D13" s="34">
        <f t="shared" si="18"/>
        <v>1</v>
      </c>
      <c r="E13" s="23">
        <v>0.81524832942279368</v>
      </c>
      <c r="F13" s="34">
        <f t="shared" si="9"/>
        <v>0.91708599627608811</v>
      </c>
      <c r="G13" s="69"/>
      <c r="H13" s="69"/>
      <c r="I13" s="70"/>
      <c r="J13" s="70"/>
      <c r="L13" t="s">
        <v>59</v>
      </c>
      <c r="M13">
        <v>16</v>
      </c>
      <c r="N13">
        <v>5.7285143857550309E-3</v>
      </c>
      <c r="O13">
        <v>3.5803214910968943E-4</v>
      </c>
      <c r="T13"/>
      <c r="W13" s="22" t="s">
        <v>109</v>
      </c>
      <c r="X13" s="23">
        <v>0.83941540499303502</v>
      </c>
      <c r="Y13" s="75"/>
      <c r="Z13" s="75"/>
      <c r="AA13" s="70"/>
      <c r="AB13" s="45">
        <v>1.2110824281712549</v>
      </c>
      <c r="AC13" s="69"/>
      <c r="AD13" s="69"/>
      <c r="AE13" s="70"/>
      <c r="AF13" s="25">
        <v>15</v>
      </c>
      <c r="AG13" s="34">
        <f t="shared" si="0"/>
        <v>1.1760912590556813</v>
      </c>
      <c r="AH13" s="24">
        <f t="shared" si="27"/>
        <v>2.9752086707683714</v>
      </c>
      <c r="AI13" s="70"/>
    </row>
    <row r="14" spans="1:35" ht="15.75" thickBot="1" x14ac:dyDescent="0.3">
      <c r="A14" s="33" t="s">
        <v>119</v>
      </c>
      <c r="B14" s="68">
        <v>3</v>
      </c>
      <c r="C14" s="25">
        <v>20</v>
      </c>
      <c r="D14" s="34">
        <f t="shared" si="18"/>
        <v>1.3010299956639813</v>
      </c>
      <c r="E14" s="23">
        <v>0.90315563254149567</v>
      </c>
      <c r="F14" s="34">
        <f t="shared" si="9"/>
        <v>1.4842298873644879</v>
      </c>
      <c r="G14" s="69">
        <f>AVERAGE(F14:F16)</f>
        <v>1.3506685057326691</v>
      </c>
      <c r="H14" s="69">
        <f>_xlfn.STDEV.S(F14:F16)</f>
        <v>0.16334858713795677</v>
      </c>
      <c r="I14" s="70">
        <f t="shared" ref="I14" si="29">100*H14/G14</f>
        <v>12.093906568832629</v>
      </c>
      <c r="J14" s="70">
        <f t="shared" ref="J14" si="30">100*ABS(G14-C14)/C14</f>
        <v>93.246657471336647</v>
      </c>
      <c r="L14" s="4" t="s">
        <v>60</v>
      </c>
      <c r="M14" s="4">
        <v>17</v>
      </c>
      <c r="N14" s="4">
        <v>0.12005717622271714</v>
      </c>
      <c r="O14" s="4"/>
      <c r="P14" s="4"/>
      <c r="Q14" s="4"/>
      <c r="T14"/>
      <c r="W14" s="22" t="s">
        <v>148</v>
      </c>
      <c r="X14" s="23">
        <v>0.68325701545698758</v>
      </c>
      <c r="Y14" s="75">
        <f t="shared" ref="Y14" si="31">AVERAGE(X14:X16)</f>
        <v>0.68399122113654176</v>
      </c>
      <c r="Z14" s="75">
        <f t="shared" ref="Z14" si="32">_xlfn.STDEV.S(X14:X16)</f>
        <v>6.0019473348848712E-3</v>
      </c>
      <c r="AA14" s="70">
        <f t="shared" ref="AA14" si="33">100*Z14/Y14</f>
        <v>0.87748894275453471</v>
      </c>
      <c r="AB14" s="45">
        <v>-1.8154435140564886E-2</v>
      </c>
      <c r="AC14" s="69">
        <f t="shared" ref="AC14" si="34">AVERAGE(AB14:AB16)</f>
        <v>6.8274827351119574E-2</v>
      </c>
      <c r="AD14" s="69">
        <f t="shared" ref="AD14" si="35">_xlfn.STDEV.S(AB14:AB16)</f>
        <v>0.12050611804152951</v>
      </c>
      <c r="AE14" s="74">
        <f t="shared" ref="AE14" si="36">100*AD14/AC14</f>
        <v>176.50153463120174</v>
      </c>
      <c r="AF14" s="25">
        <v>5</v>
      </c>
      <c r="AG14" s="34">
        <f t="shared" si="0"/>
        <v>0.69897000433601886</v>
      </c>
      <c r="AH14" s="24">
        <f t="shared" si="27"/>
        <v>102.59731247806701</v>
      </c>
      <c r="AI14" s="74">
        <f t="shared" ref="AI14" si="37">AVERAGE(AH14:AH16)</f>
        <v>90.232080500224512</v>
      </c>
    </row>
    <row r="15" spans="1:35" ht="15.75" thickBot="1" x14ac:dyDescent="0.3">
      <c r="A15" s="33" t="s">
        <v>121</v>
      </c>
      <c r="B15" s="68"/>
      <c r="C15" s="25">
        <v>20</v>
      </c>
      <c r="D15" s="34">
        <f t="shared" si="18"/>
        <v>1.3010299956639813</v>
      </c>
      <c r="E15" s="23">
        <v>0.88998062262798672</v>
      </c>
      <c r="F15" s="34">
        <f t="shared" si="9"/>
        <v>1.3992298234063658</v>
      </c>
      <c r="G15" s="69"/>
      <c r="H15" s="69"/>
      <c r="I15" s="70"/>
      <c r="J15" s="70"/>
      <c r="T15"/>
      <c r="W15" s="22" t="s">
        <v>149</v>
      </c>
      <c r="X15" s="23">
        <v>0.69032649608558438</v>
      </c>
      <c r="Y15" s="75"/>
      <c r="Z15" s="75"/>
      <c r="AA15" s="70"/>
      <c r="AB15" s="45">
        <v>1.7047881819058149E-2</v>
      </c>
      <c r="AC15" s="69"/>
      <c r="AD15" s="69"/>
      <c r="AE15" s="74"/>
      <c r="AF15" s="25">
        <v>5</v>
      </c>
      <c r="AG15" s="34">
        <f t="shared" si="0"/>
        <v>0.69897000433601886</v>
      </c>
      <c r="AH15" s="24">
        <f t="shared" si="27"/>
        <v>97.560999511666793</v>
      </c>
      <c r="AI15" s="74"/>
    </row>
    <row r="16" spans="1:35" x14ac:dyDescent="0.25">
      <c r="A16" s="33" t="s">
        <v>123</v>
      </c>
      <c r="B16" s="68"/>
      <c r="C16" s="25">
        <v>20</v>
      </c>
      <c r="D16" s="34">
        <f t="shared" si="18"/>
        <v>1.3010299956639813</v>
      </c>
      <c r="E16" s="23">
        <v>0.85422459999620881</v>
      </c>
      <c r="F16" s="34">
        <f t="shared" si="9"/>
        <v>1.1685458064271534</v>
      </c>
      <c r="G16" s="69"/>
      <c r="H16" s="69"/>
      <c r="I16" s="70"/>
      <c r="J16" s="70"/>
      <c r="L16" s="5"/>
      <c r="M16" s="5" t="s">
        <v>66</v>
      </c>
      <c r="N16" s="5" t="s">
        <v>55</v>
      </c>
      <c r="O16" s="5" t="s">
        <v>67</v>
      </c>
      <c r="P16" s="5" t="s">
        <v>68</v>
      </c>
      <c r="Q16" s="5" t="s">
        <v>69</v>
      </c>
      <c r="R16" s="5" t="s">
        <v>70</v>
      </c>
      <c r="S16" s="5" t="s">
        <v>71</v>
      </c>
      <c r="T16" s="5" t="s">
        <v>72</v>
      </c>
      <c r="W16" s="22" t="s">
        <v>150</v>
      </c>
      <c r="X16" s="23">
        <v>0.67839015186705343</v>
      </c>
      <c r="Y16" s="75"/>
      <c r="Z16" s="75"/>
      <c r="AA16" s="70"/>
      <c r="AB16" s="45">
        <v>0.20593103537486548</v>
      </c>
      <c r="AC16" s="69"/>
      <c r="AD16" s="69"/>
      <c r="AE16" s="74"/>
      <c r="AF16" s="25">
        <v>5</v>
      </c>
      <c r="AG16" s="34">
        <f t="shared" si="0"/>
        <v>0.69897000433601886</v>
      </c>
      <c r="AH16" s="24">
        <f t="shared" si="27"/>
        <v>70.537929510939733</v>
      </c>
      <c r="AI16" s="74"/>
    </row>
    <row r="17" spans="1:40" x14ac:dyDescent="0.25">
      <c r="A17" s="33" t="s">
        <v>125</v>
      </c>
      <c r="B17" s="68">
        <v>4</v>
      </c>
      <c r="C17" s="25">
        <v>40</v>
      </c>
      <c r="D17" s="34">
        <f t="shared" si="18"/>
        <v>1.6020599913279623</v>
      </c>
      <c r="E17" s="23">
        <v>0.94556346057447682</v>
      </c>
      <c r="F17" s="34">
        <f t="shared" si="9"/>
        <v>1.7578287778998503</v>
      </c>
      <c r="G17" s="69">
        <f>AVERAGE(F17:F19)</f>
        <v>1.5803959358290396</v>
      </c>
      <c r="H17" s="69">
        <f>_xlfn.STDEV.S(F17:F19)</f>
        <v>0.16533150562345386</v>
      </c>
      <c r="I17" s="70">
        <f t="shared" ref="I17" si="38">100*H17/G17</f>
        <v>10.461397797554113</v>
      </c>
      <c r="J17" s="70">
        <f t="shared" ref="J17" si="39">100*ABS(G17-C17)/C17</f>
        <v>96.0490101604274</v>
      </c>
      <c r="L17" t="s">
        <v>61</v>
      </c>
      <c r="M17">
        <v>0.67308993101495762</v>
      </c>
      <c r="N17">
        <v>1.3358687240365139E-2</v>
      </c>
      <c r="O17">
        <v>50.385933805016592</v>
      </c>
      <c r="P17">
        <v>4.6611593414043495E-19</v>
      </c>
      <c r="Q17">
        <v>0.64477077914346825</v>
      </c>
      <c r="R17">
        <v>0.70140908288644699</v>
      </c>
      <c r="S17">
        <v>0.64477077914346825</v>
      </c>
      <c r="T17">
        <v>0.70140908288644699</v>
      </c>
    </row>
    <row r="18" spans="1:40" ht="15.75" thickBot="1" x14ac:dyDescent="0.3">
      <c r="A18" s="33" t="s">
        <v>126</v>
      </c>
      <c r="B18" s="68"/>
      <c r="C18" s="25">
        <v>40</v>
      </c>
      <c r="D18" s="34">
        <f t="shared" si="18"/>
        <v>1.6020599913279623</v>
      </c>
      <c r="E18" s="23">
        <v>0.91376748014978282</v>
      </c>
      <c r="F18" s="34">
        <f t="shared" si="9"/>
        <v>1.5526934203211793</v>
      </c>
      <c r="G18" s="69"/>
      <c r="H18" s="69"/>
      <c r="I18" s="70"/>
      <c r="J18" s="70"/>
      <c r="L18" s="4" t="s">
        <v>73</v>
      </c>
      <c r="M18" s="4">
        <v>0.15502014404707853</v>
      </c>
      <c r="N18" s="4">
        <v>8.675042051066742E-3</v>
      </c>
      <c r="O18" s="4">
        <v>17.869670617679162</v>
      </c>
      <c r="P18" s="4">
        <v>5.391934249088117E-12</v>
      </c>
      <c r="Q18" s="4">
        <v>0.13662987643205493</v>
      </c>
      <c r="R18" s="4">
        <v>0.17341041166210214</v>
      </c>
      <c r="S18" s="4">
        <v>0.13662987643205493</v>
      </c>
      <c r="T18" s="4">
        <v>0.17341041166210214</v>
      </c>
    </row>
    <row r="19" spans="1:40" x14ac:dyDescent="0.25">
      <c r="A19" s="33" t="s">
        <v>127</v>
      </c>
      <c r="B19" s="68"/>
      <c r="C19" s="25">
        <v>40</v>
      </c>
      <c r="D19" s="34">
        <f t="shared" si="18"/>
        <v>1.6020599913279623</v>
      </c>
      <c r="E19" s="23">
        <v>0.89485316943624382</v>
      </c>
      <c r="F19" s="34">
        <f t="shared" si="9"/>
        <v>1.430665609266089</v>
      </c>
      <c r="G19" s="69"/>
      <c r="H19" s="69"/>
      <c r="I19" s="70"/>
      <c r="J19" s="70"/>
      <c r="T19"/>
      <c r="W19" s="12" t="s">
        <v>49</v>
      </c>
      <c r="X19" s="36"/>
      <c r="AB19" s="35"/>
    </row>
    <row r="20" spans="1:40" x14ac:dyDescent="0.25">
      <c r="A20" s="33" t="s">
        <v>128</v>
      </c>
      <c r="B20" s="68">
        <v>5</v>
      </c>
      <c r="C20" s="25">
        <v>80</v>
      </c>
      <c r="D20" s="34">
        <f t="shared" si="18"/>
        <v>1.9030899869919435</v>
      </c>
      <c r="E20" s="23">
        <v>0.9742383737997653</v>
      </c>
      <c r="F20" s="34">
        <f t="shared" si="9"/>
        <v>1.9428282180630017</v>
      </c>
      <c r="G20" s="69">
        <f>AVERAGE(F20:F22)</f>
        <v>1.9042666945034423</v>
      </c>
      <c r="H20" s="69">
        <f>_xlfn.STDEV.S(F20:F22)</f>
        <v>3.6158343295302521E-2</v>
      </c>
      <c r="I20" s="70">
        <f t="shared" ref="I20" si="40">100*H20/G20</f>
        <v>1.898806684991736</v>
      </c>
      <c r="J20" s="70">
        <f t="shared" ref="J20" si="41">100*ABS(G20-C20)/C20</f>
        <v>97.619666631870686</v>
      </c>
      <c r="T20"/>
      <c r="W20" s="37" t="s">
        <v>120</v>
      </c>
      <c r="X20" s="48">
        <v>0.9788632203391272</v>
      </c>
      <c r="AB20" s="35"/>
    </row>
    <row r="21" spans="1:40" x14ac:dyDescent="0.25">
      <c r="A21" s="33" t="s">
        <v>132</v>
      </c>
      <c r="B21" s="68"/>
      <c r="C21" s="25">
        <v>80</v>
      </c>
      <c r="D21" s="34">
        <f t="shared" si="18"/>
        <v>1.9030899869919435</v>
      </c>
      <c r="E21" s="23">
        <v>0.9674215828751116</v>
      </c>
      <c r="F21" s="34">
        <f t="shared" si="9"/>
        <v>1.8988489217749134</v>
      </c>
      <c r="G21" s="69"/>
      <c r="H21" s="69"/>
      <c r="I21" s="70"/>
      <c r="J21" s="70"/>
      <c r="T21"/>
      <c r="W21" s="37" t="s">
        <v>122</v>
      </c>
      <c r="X21" s="48">
        <v>0.99006102228051984</v>
      </c>
      <c r="AB21" s="35"/>
    </row>
    <row r="22" spans="1:40" x14ac:dyDescent="0.25">
      <c r="A22" s="33" t="s">
        <v>133</v>
      </c>
      <c r="B22" s="68"/>
      <c r="C22" s="25">
        <v>80</v>
      </c>
      <c r="D22" s="34">
        <f t="shared" si="18"/>
        <v>1.9030899869919435</v>
      </c>
      <c r="E22" s="23">
        <v>0.96312405626922382</v>
      </c>
      <c r="F22" s="34">
        <f t="shared" si="9"/>
        <v>1.8711229436724115</v>
      </c>
      <c r="G22" s="69"/>
      <c r="H22" s="69"/>
      <c r="I22" s="70"/>
      <c r="J22" s="70"/>
      <c r="W22" s="38" t="s">
        <v>124</v>
      </c>
      <c r="X22" s="48">
        <v>0.9895145605124801</v>
      </c>
      <c r="AB22" s="35"/>
    </row>
    <row r="23" spans="1:40" x14ac:dyDescent="0.25">
      <c r="A23" s="33" t="s">
        <v>134</v>
      </c>
      <c r="B23" s="68">
        <v>6</v>
      </c>
      <c r="C23" s="25">
        <v>160</v>
      </c>
      <c r="D23" s="34">
        <f t="shared" si="18"/>
        <v>2.2041199826559246</v>
      </c>
      <c r="E23" s="23">
        <v>1.026557730476704</v>
      </c>
      <c r="F23" s="34">
        <f t="shared" si="9"/>
        <v>2.2803724546884125</v>
      </c>
      <c r="G23" s="69">
        <f>AVERAGE(F23:F25)</f>
        <v>2.1843502181289383</v>
      </c>
      <c r="H23" s="69">
        <f>_xlfn.STDEV.S(F23:F25)</f>
        <v>0.12125772718205864</v>
      </c>
      <c r="I23" s="70">
        <f t="shared" ref="I23" si="42">100*H23/G23</f>
        <v>5.5512035650549247</v>
      </c>
      <c r="J23" s="70">
        <f t="shared" ref="J23" si="43">100*ABS(G23-C23)/C23</f>
        <v>98.634781113669405</v>
      </c>
      <c r="W23" s="37" t="s">
        <v>82</v>
      </c>
      <c r="X23" s="48">
        <f>AVERAGE(X20:X22)</f>
        <v>0.98614626771070901</v>
      </c>
      <c r="AB23" s="35"/>
    </row>
    <row r="24" spans="1:40" ht="15.75" thickBot="1" x14ac:dyDescent="0.3">
      <c r="A24" s="33" t="s">
        <v>135</v>
      </c>
      <c r="B24" s="68"/>
      <c r="C24" s="25">
        <v>160</v>
      </c>
      <c r="D24" s="34">
        <f t="shared" si="18"/>
        <v>2.2041199826559246</v>
      </c>
      <c r="E24" s="23">
        <v>1.0179114610549567</v>
      </c>
      <c r="F24" s="34">
        <f t="shared" si="9"/>
        <v>2.224590071322301</v>
      </c>
      <c r="G24" s="69"/>
      <c r="H24" s="69"/>
      <c r="I24" s="70"/>
      <c r="J24" s="70"/>
      <c r="W24" s="49" t="s">
        <v>83</v>
      </c>
      <c r="X24" s="50">
        <f>_xlfn.STDEV.S(X20:X22)</f>
        <v>6.3132194147290013E-3</v>
      </c>
      <c r="AB24" s="35"/>
    </row>
    <row r="25" spans="1:40" x14ac:dyDescent="0.25">
      <c r="A25" s="33" t="s">
        <v>136</v>
      </c>
      <c r="B25" s="68"/>
      <c r="C25" s="25">
        <v>160</v>
      </c>
      <c r="D25" s="34">
        <f t="shared" si="18"/>
        <v>2.2041199826559246</v>
      </c>
      <c r="E25" s="23">
        <v>0.9905536598982958</v>
      </c>
      <c r="F25" s="34">
        <f t="shared" si="9"/>
        <v>2.0480881283761017</v>
      </c>
      <c r="G25" s="69"/>
      <c r="H25" s="69"/>
      <c r="I25" s="70"/>
      <c r="J25" s="70"/>
      <c r="T25"/>
      <c r="W25" s="76" t="s">
        <v>157</v>
      </c>
      <c r="X25" s="77"/>
      <c r="Y25" s="77"/>
      <c r="Z25" s="77"/>
      <c r="AA25" s="77"/>
      <c r="AB25" s="78"/>
      <c r="AC25" s="79" t="s">
        <v>158</v>
      </c>
      <c r="AD25" s="80"/>
      <c r="AE25" s="80"/>
      <c r="AF25" s="80"/>
      <c r="AG25" s="80"/>
      <c r="AH25" s="81"/>
      <c r="AI25" s="79" t="s">
        <v>159</v>
      </c>
      <c r="AJ25" s="80"/>
      <c r="AK25" s="80"/>
      <c r="AL25" s="80"/>
      <c r="AM25" s="80"/>
      <c r="AN25" s="81"/>
    </row>
    <row r="26" spans="1:40" x14ac:dyDescent="0.25">
      <c r="F26" s="20" t="s">
        <v>144</v>
      </c>
      <c r="G26" s="19">
        <f>10^G2</f>
        <v>1.9247476716031688</v>
      </c>
      <c r="H26" s="20" t="s">
        <v>91</v>
      </c>
      <c r="I26" s="43">
        <f>10^I2</f>
        <v>1754.0407214775628</v>
      </c>
      <c r="J26" s="44" t="s">
        <v>92</v>
      </c>
      <c r="T26"/>
      <c r="W26" s="51" t="s">
        <v>129</v>
      </c>
      <c r="X26" s="36"/>
      <c r="Z26" s="12" t="s">
        <v>130</v>
      </c>
      <c r="AA26" s="36"/>
      <c r="AB26" s="52" t="s">
        <v>131</v>
      </c>
      <c r="AC26" s="51" t="s">
        <v>129</v>
      </c>
      <c r="AD26" s="36"/>
      <c r="AF26" s="12" t="s">
        <v>130</v>
      </c>
      <c r="AG26" s="36"/>
      <c r="AH26" s="52" t="s">
        <v>131</v>
      </c>
      <c r="AI26" s="51" t="s">
        <v>129</v>
      </c>
      <c r="AJ26" s="36"/>
      <c r="AL26" s="12" t="s">
        <v>130</v>
      </c>
      <c r="AM26" s="36"/>
      <c r="AN26" s="52" t="s">
        <v>131</v>
      </c>
    </row>
    <row r="27" spans="1:40" x14ac:dyDescent="0.25">
      <c r="F27" s="20" t="s">
        <v>145</v>
      </c>
      <c r="G27" s="19">
        <f>10^G3</f>
        <v>7.2734221828935901</v>
      </c>
      <c r="H27" s="20" t="s">
        <v>96</v>
      </c>
      <c r="I27" s="43">
        <f>10^I3</f>
        <v>6767421821.3285122</v>
      </c>
      <c r="J27" s="44" t="s">
        <v>97</v>
      </c>
      <c r="T27"/>
      <c r="W27" s="53" t="s">
        <v>120</v>
      </c>
      <c r="X27" s="23">
        <v>0.37</v>
      </c>
      <c r="Z27" s="37" t="s">
        <v>120</v>
      </c>
      <c r="AA27" s="23">
        <v>1.1299999999999999</v>
      </c>
      <c r="AB27" s="54"/>
      <c r="AC27" s="53" t="s">
        <v>120</v>
      </c>
      <c r="AD27" s="23">
        <f>10^X27</f>
        <v>2.344228815319922</v>
      </c>
      <c r="AF27" s="37" t="s">
        <v>120</v>
      </c>
      <c r="AG27" s="23">
        <f>10^AA27</f>
        <v>13.489628825916535</v>
      </c>
      <c r="AH27" s="54"/>
      <c r="AI27" s="53" t="s">
        <v>120</v>
      </c>
      <c r="AJ27" s="23">
        <f>AD27*272.38</f>
        <v>638.52104471684038</v>
      </c>
      <c r="AL27" s="37" t="s">
        <v>120</v>
      </c>
      <c r="AM27" s="23">
        <f>AG27*272.38</f>
        <v>3674.3050996031457</v>
      </c>
      <c r="AN27" s="54"/>
    </row>
    <row r="28" spans="1:40" x14ac:dyDescent="0.25">
      <c r="W28" s="53" t="s">
        <v>122</v>
      </c>
      <c r="X28" s="23">
        <v>0.25</v>
      </c>
      <c r="Z28" s="37" t="s">
        <v>122</v>
      </c>
      <c r="AA28" s="23">
        <v>0.77</v>
      </c>
      <c r="AB28" s="54"/>
      <c r="AC28" s="53" t="s">
        <v>122</v>
      </c>
      <c r="AD28" s="23">
        <f t="shared" ref="AD28:AD29" si="44">10^X28</f>
        <v>1.778279410038923</v>
      </c>
      <c r="AF28" s="37" t="s">
        <v>122</v>
      </c>
      <c r="AG28" s="23">
        <f t="shared" ref="AG28:AG29" si="45">10^AA28</f>
        <v>5.8884365535558905</v>
      </c>
      <c r="AH28" s="54"/>
      <c r="AI28" s="53" t="s">
        <v>122</v>
      </c>
      <c r="AJ28" s="23">
        <f t="shared" ref="AJ28:AJ29" si="46">AD28*272.38</f>
        <v>484.36774570640182</v>
      </c>
      <c r="AL28" s="37" t="s">
        <v>122</v>
      </c>
      <c r="AM28" s="23">
        <f t="shared" ref="AM28:AM29" si="47">AG28*272.38</f>
        <v>1603.8923484575535</v>
      </c>
      <c r="AN28" s="54"/>
    </row>
    <row r="29" spans="1:40" x14ac:dyDescent="0.25">
      <c r="W29" s="55" t="s">
        <v>124</v>
      </c>
      <c r="X29" s="23">
        <v>0.26</v>
      </c>
      <c r="Z29" s="38" t="s">
        <v>124</v>
      </c>
      <c r="AA29" s="23">
        <v>0.79</v>
      </c>
      <c r="AB29" s="54"/>
      <c r="AC29" s="55" t="s">
        <v>124</v>
      </c>
      <c r="AD29" s="23">
        <f t="shared" si="44"/>
        <v>1.8197008586099837</v>
      </c>
      <c r="AF29" s="38" t="s">
        <v>124</v>
      </c>
      <c r="AG29" s="23">
        <f t="shared" si="45"/>
        <v>6.1659500186148231</v>
      </c>
      <c r="AH29" s="54"/>
      <c r="AI29" s="55" t="s">
        <v>124</v>
      </c>
      <c r="AJ29" s="23">
        <f t="shared" si="46"/>
        <v>495.65011986818735</v>
      </c>
      <c r="AL29" s="38" t="s">
        <v>124</v>
      </c>
      <c r="AM29" s="23">
        <f t="shared" si="47"/>
        <v>1679.4814660703055</v>
      </c>
      <c r="AN29" s="54"/>
    </row>
    <row r="30" spans="1:40" x14ac:dyDescent="0.25">
      <c r="W30" s="53" t="s">
        <v>82</v>
      </c>
      <c r="X30" s="40">
        <f>AVERAGE(X27:X29)</f>
        <v>0.29333333333333333</v>
      </c>
      <c r="Z30" s="37" t="s">
        <v>82</v>
      </c>
      <c r="AA30" s="40">
        <f>AVERAGE(AA27:AA29)</f>
        <v>0.89666666666666661</v>
      </c>
      <c r="AB30" s="54"/>
      <c r="AC30" s="53" t="s">
        <v>82</v>
      </c>
      <c r="AD30" s="40">
        <f>AVERAGE(AD27:AD29)</f>
        <v>1.9807363613229427</v>
      </c>
      <c r="AF30" s="37" t="s">
        <v>82</v>
      </c>
      <c r="AG30" s="40">
        <f>AVERAGE(AG27:AG29)</f>
        <v>8.5146717993624161</v>
      </c>
      <c r="AH30" s="54"/>
      <c r="AI30" s="53" t="s">
        <v>82</v>
      </c>
      <c r="AJ30" s="40">
        <f>AVERAGE(AJ27:AJ29)</f>
        <v>539.51297009714324</v>
      </c>
      <c r="AL30" s="37" t="s">
        <v>82</v>
      </c>
      <c r="AM30" s="40">
        <f>AVERAGE(AM27:AM29)</f>
        <v>2319.2263047103347</v>
      </c>
      <c r="AN30" s="54"/>
    </row>
    <row r="31" spans="1:40" x14ac:dyDescent="0.25">
      <c r="A31" s="31" t="s">
        <v>138</v>
      </c>
      <c r="B31" s="31" t="s">
        <v>139</v>
      </c>
      <c r="C31" s="32" t="s">
        <v>161</v>
      </c>
      <c r="N31" s="10"/>
      <c r="O31" s="41"/>
      <c r="P31" s="10"/>
      <c r="W31" s="53" t="s">
        <v>83</v>
      </c>
      <c r="X31" s="40">
        <f>_xlfn.STDEV.S(X27:X29)</f>
        <v>6.6583281184794021E-2</v>
      </c>
      <c r="Z31" s="37" t="s">
        <v>83</v>
      </c>
      <c r="AA31" s="40">
        <f>_xlfn.STDEV.S(AA27:AA29)</f>
        <v>0.20231987873991397</v>
      </c>
      <c r="AB31" s="54"/>
      <c r="AC31" s="53" t="s">
        <v>83</v>
      </c>
      <c r="AD31" s="40">
        <f>_xlfn.STDEV.S(AD27:AD29)</f>
        <v>0.31547425756310432</v>
      </c>
      <c r="AF31" s="37" t="s">
        <v>83</v>
      </c>
      <c r="AG31" s="40">
        <f>_xlfn.STDEV.S(AG27:AG29)</f>
        <v>4.3106729744748016</v>
      </c>
      <c r="AH31" s="54"/>
      <c r="AI31" s="53" t="s">
        <v>83</v>
      </c>
      <c r="AJ31" s="40">
        <f>_xlfn.STDEV.S(AJ27:AJ29)</f>
        <v>85.928878275037547</v>
      </c>
      <c r="AL31" s="37" t="s">
        <v>83</v>
      </c>
      <c r="AM31" s="40">
        <f>_xlfn.STDEV.S(AM27:AM29)</f>
        <v>1174.1411047874465</v>
      </c>
      <c r="AN31" s="54"/>
    </row>
    <row r="32" spans="1:40" x14ac:dyDescent="0.25">
      <c r="A32">
        <v>160</v>
      </c>
      <c r="B32">
        <f>LOG10(A32)</f>
        <v>2.2041199826559246</v>
      </c>
      <c r="C32" s="67">
        <f>AVERAGE(E23:E25)</f>
        <v>1.0116742838099855</v>
      </c>
      <c r="T32"/>
      <c r="W32" s="56"/>
      <c r="AB32" s="54"/>
      <c r="AC32" s="56"/>
      <c r="AH32" s="54"/>
      <c r="AI32" s="56"/>
      <c r="AN32" s="54"/>
    </row>
    <row r="33" spans="1:40" x14ac:dyDescent="0.25">
      <c r="A33">
        <v>80</v>
      </c>
      <c r="B33">
        <f t="shared" ref="B33:B37" si="48">LOG10(A33)</f>
        <v>1.9030899869919435</v>
      </c>
      <c r="C33" s="67">
        <f>AVERAGE(E20:E22)</f>
        <v>0.96826133764803357</v>
      </c>
      <c r="T33"/>
      <c r="W33" s="56"/>
      <c r="AB33" s="54"/>
      <c r="AC33" s="56"/>
      <c r="AH33" s="54"/>
      <c r="AI33" s="56"/>
      <c r="AN33" s="54"/>
    </row>
    <row r="34" spans="1:40" x14ac:dyDescent="0.25">
      <c r="A34">
        <v>40</v>
      </c>
      <c r="B34">
        <f t="shared" si="48"/>
        <v>1.6020599913279623</v>
      </c>
      <c r="C34" s="67">
        <f>AVERAGE(E17:E19)</f>
        <v>0.91806137005350108</v>
      </c>
      <c r="T34"/>
      <c r="W34" s="51" t="s">
        <v>129</v>
      </c>
      <c r="X34" s="36"/>
      <c r="Z34" s="12" t="s">
        <v>130</v>
      </c>
      <c r="AA34" s="36"/>
      <c r="AB34" s="54" t="s">
        <v>137</v>
      </c>
      <c r="AC34" s="56"/>
      <c r="AH34" s="54"/>
      <c r="AI34" s="56"/>
      <c r="AN34" s="54"/>
    </row>
    <row r="35" spans="1:40" x14ac:dyDescent="0.25">
      <c r="A35">
        <v>20</v>
      </c>
      <c r="B35">
        <f t="shared" si="48"/>
        <v>1.3010299956639813</v>
      </c>
      <c r="C35" s="67">
        <f>AVERAGE(E14:E16)</f>
        <v>0.88245361838856373</v>
      </c>
      <c r="W35" s="53" t="s">
        <v>120</v>
      </c>
      <c r="X35" s="23">
        <v>14.06</v>
      </c>
      <c r="Z35" s="37" t="s">
        <v>120</v>
      </c>
      <c r="AA35" s="23">
        <v>42.61</v>
      </c>
      <c r="AB35" s="54"/>
      <c r="AC35" s="56"/>
      <c r="AH35" s="54"/>
      <c r="AI35" s="56"/>
      <c r="AN35" s="54"/>
    </row>
    <row r="36" spans="1:40" x14ac:dyDescent="0.25">
      <c r="A36">
        <v>10</v>
      </c>
      <c r="B36">
        <f t="shared" si="48"/>
        <v>1</v>
      </c>
      <c r="C36" s="67">
        <f>AVERAGE(E11:E13)</f>
        <v>0.83777154096371953</v>
      </c>
      <c r="W36" s="53" t="s">
        <v>122</v>
      </c>
      <c r="X36" s="23">
        <v>14.36</v>
      </c>
      <c r="Z36" s="37" t="s">
        <v>122</v>
      </c>
      <c r="AA36" s="23">
        <v>43.51</v>
      </c>
      <c r="AB36" s="54"/>
      <c r="AC36" s="62"/>
      <c r="AD36" s="47"/>
      <c r="AE36" s="46"/>
      <c r="AH36" s="54"/>
      <c r="AI36" s="56"/>
      <c r="AN36" s="54"/>
    </row>
    <row r="37" spans="1:40" x14ac:dyDescent="0.25">
      <c r="A37">
        <v>5</v>
      </c>
      <c r="B37">
        <f t="shared" si="48"/>
        <v>0.69897000433601886</v>
      </c>
      <c r="C37" s="67">
        <f>AVERAGE(E8:E10)</f>
        <v>0.77042971912130886</v>
      </c>
      <c r="W37" s="55" t="s">
        <v>124</v>
      </c>
      <c r="X37" s="23">
        <v>14.25</v>
      </c>
      <c r="Z37" s="38" t="s">
        <v>124</v>
      </c>
      <c r="AA37" s="23">
        <v>43.18</v>
      </c>
      <c r="AB37" s="54"/>
      <c r="AC37" s="62"/>
      <c r="AD37" s="47"/>
      <c r="AE37" s="46"/>
      <c r="AH37" s="54"/>
      <c r="AI37" s="56"/>
      <c r="AN37" s="54"/>
    </row>
    <row r="38" spans="1:40" x14ac:dyDescent="0.25">
      <c r="A38">
        <v>0</v>
      </c>
      <c r="B38">
        <v>0</v>
      </c>
      <c r="C38" s="67">
        <f>AVERAGE(E5:E7)</f>
        <v>0.66806658394477569</v>
      </c>
      <c r="W38" s="53" t="s">
        <v>82</v>
      </c>
      <c r="X38" s="40">
        <f>AVERAGE(X35:X37)</f>
        <v>14.223333333333334</v>
      </c>
      <c r="Z38" s="37" t="s">
        <v>82</v>
      </c>
      <c r="AA38" s="23">
        <f>AVERAGE(AA35:AA37)</f>
        <v>43.1</v>
      </c>
      <c r="AB38" s="54"/>
      <c r="AC38" s="56"/>
      <c r="AH38" s="54"/>
      <c r="AI38" s="56"/>
      <c r="AN38" s="54"/>
    </row>
    <row r="39" spans="1:40" ht="15.75" thickBot="1" x14ac:dyDescent="0.3">
      <c r="W39" s="57" t="s">
        <v>83</v>
      </c>
      <c r="X39" s="58">
        <f>_xlfn.STDEV.S(X35:X37)</f>
        <v>0.15176736583776229</v>
      </c>
      <c r="Y39" s="4"/>
      <c r="Z39" s="59" t="s">
        <v>83</v>
      </c>
      <c r="AA39" s="60">
        <f>_xlfn.STDEV.S(AA35:AA37)</f>
        <v>0.45530209751328782</v>
      </c>
      <c r="AB39" s="61"/>
      <c r="AC39" s="63"/>
      <c r="AD39" s="64"/>
      <c r="AE39" s="65"/>
      <c r="AF39" s="4"/>
      <c r="AG39" s="4"/>
      <c r="AH39" s="61"/>
      <c r="AI39" s="66"/>
      <c r="AJ39" s="4"/>
      <c r="AK39" s="4"/>
      <c r="AL39" s="4"/>
      <c r="AM39" s="4"/>
      <c r="AN39" s="61"/>
    </row>
    <row r="40" spans="1:40" x14ac:dyDescent="0.25">
      <c r="AC40" s="46"/>
      <c r="AD40" s="47"/>
      <c r="AE40" s="46"/>
    </row>
    <row r="45" spans="1:40" x14ac:dyDescent="0.25">
      <c r="A45" s="94"/>
      <c r="B45" s="94"/>
      <c r="C45" s="94"/>
    </row>
    <row r="46" spans="1:40" x14ac:dyDescent="0.25">
      <c r="A46" s="94"/>
      <c r="B46" s="94"/>
      <c r="C46" s="94"/>
    </row>
    <row r="47" spans="1:40" x14ac:dyDescent="0.25">
      <c r="A47" s="95"/>
      <c r="B47" s="94"/>
      <c r="C47" s="94"/>
    </row>
    <row r="48" spans="1:40" x14ac:dyDescent="0.25">
      <c r="A48" s="95"/>
      <c r="B48" s="94"/>
      <c r="C48" s="94"/>
    </row>
    <row r="49" spans="1:3" x14ac:dyDescent="0.25">
      <c r="A49" s="95"/>
      <c r="B49" s="94"/>
      <c r="C49" s="94"/>
    </row>
    <row r="50" spans="1:3" x14ac:dyDescent="0.25">
      <c r="A50" s="95"/>
      <c r="B50" s="94"/>
      <c r="C50" s="94"/>
    </row>
    <row r="51" spans="1:3" x14ac:dyDescent="0.25">
      <c r="A51" s="95"/>
      <c r="B51" s="94"/>
      <c r="C51" s="94"/>
    </row>
    <row r="52" spans="1:3" x14ac:dyDescent="0.25">
      <c r="A52" s="95"/>
      <c r="B52" s="94"/>
      <c r="C52" s="94"/>
    </row>
    <row r="53" spans="1:3" x14ac:dyDescent="0.25">
      <c r="A53" s="95"/>
      <c r="B53" s="94"/>
      <c r="C53" s="94"/>
    </row>
    <row r="54" spans="1:3" x14ac:dyDescent="0.25">
      <c r="A54" s="95"/>
      <c r="B54" s="94"/>
      <c r="C54" s="94"/>
    </row>
    <row r="55" spans="1:3" x14ac:dyDescent="0.25">
      <c r="A55" s="95"/>
      <c r="B55" s="94"/>
      <c r="C55" s="94"/>
    </row>
    <row r="56" spans="1:3" x14ac:dyDescent="0.25">
      <c r="A56" s="95"/>
      <c r="B56" s="94"/>
      <c r="C56" s="94"/>
    </row>
    <row r="57" spans="1:3" x14ac:dyDescent="0.25">
      <c r="A57" s="95"/>
      <c r="B57" s="94"/>
      <c r="C57" s="94"/>
    </row>
    <row r="58" spans="1:3" x14ac:dyDescent="0.25">
      <c r="A58" s="95"/>
      <c r="B58" s="94"/>
      <c r="C58" s="94"/>
    </row>
    <row r="59" spans="1:3" x14ac:dyDescent="0.25">
      <c r="A59" s="95"/>
      <c r="B59" s="94"/>
      <c r="C59" s="94"/>
    </row>
    <row r="60" spans="1:3" x14ac:dyDescent="0.25">
      <c r="A60" s="95"/>
      <c r="B60" s="94"/>
      <c r="C60" s="94"/>
    </row>
    <row r="61" spans="1:3" x14ac:dyDescent="0.25">
      <c r="A61" s="95"/>
      <c r="B61" s="94"/>
      <c r="C61" s="94"/>
    </row>
    <row r="62" spans="1:3" x14ac:dyDescent="0.25">
      <c r="A62" s="95"/>
      <c r="B62" s="94"/>
      <c r="C62" s="94"/>
    </row>
    <row r="63" spans="1:3" x14ac:dyDescent="0.25">
      <c r="A63" s="95"/>
      <c r="B63" s="94"/>
      <c r="C63" s="94"/>
    </row>
    <row r="64" spans="1:3" x14ac:dyDescent="0.25">
      <c r="A64" s="95"/>
      <c r="B64" s="94"/>
      <c r="C64" s="94"/>
    </row>
    <row r="65" spans="1:3" x14ac:dyDescent="0.25">
      <c r="A65" s="95"/>
      <c r="B65" s="94"/>
      <c r="C65" s="94"/>
    </row>
    <row r="66" spans="1:3" x14ac:dyDescent="0.25">
      <c r="A66" s="95"/>
      <c r="B66" s="94"/>
      <c r="C66" s="94"/>
    </row>
    <row r="67" spans="1:3" x14ac:dyDescent="0.25">
      <c r="A67" s="95"/>
      <c r="B67" s="94"/>
      <c r="C67" s="94"/>
    </row>
    <row r="68" spans="1:3" x14ac:dyDescent="0.25">
      <c r="A68" s="94"/>
      <c r="B68" s="94"/>
      <c r="C68" s="94"/>
    </row>
    <row r="69" spans="1:3" x14ac:dyDescent="0.25">
      <c r="A69" s="94"/>
      <c r="B69" s="94"/>
      <c r="C69" s="94"/>
    </row>
    <row r="70" spans="1:3" x14ac:dyDescent="0.25">
      <c r="A70" s="94"/>
      <c r="B70" s="94"/>
      <c r="C70" s="94"/>
    </row>
  </sheetData>
  <mergeCells count="74">
    <mergeCell ref="AC25:AH25"/>
    <mergeCell ref="AI25:AN25"/>
    <mergeCell ref="Z14:Z16"/>
    <mergeCell ref="AA14:AA16"/>
    <mergeCell ref="AC14:AC16"/>
    <mergeCell ref="AD14:AD16"/>
    <mergeCell ref="AE14:AE16"/>
    <mergeCell ref="AI14:AI16"/>
    <mergeCell ref="Z11:Z13"/>
    <mergeCell ref="AA11:AA13"/>
    <mergeCell ref="AC11:AC13"/>
    <mergeCell ref="AD11:AD13"/>
    <mergeCell ref="AE11:AE13"/>
    <mergeCell ref="AI11:AI13"/>
    <mergeCell ref="B23:B25"/>
    <mergeCell ref="G23:G25"/>
    <mergeCell ref="H23:H25"/>
    <mergeCell ref="I23:I25"/>
    <mergeCell ref="J23:J25"/>
    <mergeCell ref="Y11:Y13"/>
    <mergeCell ref="Y14:Y16"/>
    <mergeCell ref="W25:AB25"/>
    <mergeCell ref="B17:B19"/>
    <mergeCell ref="G17:G19"/>
    <mergeCell ref="H17:H19"/>
    <mergeCell ref="I17:I19"/>
    <mergeCell ref="J17:J19"/>
    <mergeCell ref="B20:B22"/>
    <mergeCell ref="G20:G22"/>
    <mergeCell ref="H20:H22"/>
    <mergeCell ref="I20:I22"/>
    <mergeCell ref="J20:J22"/>
    <mergeCell ref="B11:B13"/>
    <mergeCell ref="G11:G13"/>
    <mergeCell ref="H11:H13"/>
    <mergeCell ref="I11:I13"/>
    <mergeCell ref="J11:J13"/>
    <mergeCell ref="B14:B16"/>
    <mergeCell ref="G14:G16"/>
    <mergeCell ref="H14:H16"/>
    <mergeCell ref="I14:I16"/>
    <mergeCell ref="J14:J16"/>
    <mergeCell ref="J8:J10"/>
    <mergeCell ref="AI8:AI10"/>
    <mergeCell ref="AC5:AC7"/>
    <mergeCell ref="AD5:AD7"/>
    <mergeCell ref="AE5:AE7"/>
    <mergeCell ref="AI5:AI7"/>
    <mergeCell ref="Z8:Z10"/>
    <mergeCell ref="AA8:AA10"/>
    <mergeCell ref="AC8:AC10"/>
    <mergeCell ref="AD8:AD10"/>
    <mergeCell ref="AE8:AE10"/>
    <mergeCell ref="Y8:Y10"/>
    <mergeCell ref="AE2:AE4"/>
    <mergeCell ref="AI2:AI4"/>
    <mergeCell ref="B5:B7"/>
    <mergeCell ref="G5:G7"/>
    <mergeCell ref="H5:H7"/>
    <mergeCell ref="I5:I7"/>
    <mergeCell ref="J5:J7"/>
    <mergeCell ref="Y5:Y7"/>
    <mergeCell ref="Z5:Z7"/>
    <mergeCell ref="AA5:AA7"/>
    <mergeCell ref="AD2:AD4"/>
    <mergeCell ref="Y2:Y4"/>
    <mergeCell ref="Z2:Z4"/>
    <mergeCell ref="AA2:AA4"/>
    <mergeCell ref="AC2:AC4"/>
    <mergeCell ref="B8:B10"/>
    <mergeCell ref="G8:G10"/>
    <mergeCell ref="H8:H10"/>
    <mergeCell ref="I8:I10"/>
    <mergeCell ref="A1:C1"/>
  </mergeCells>
  <phoneticPr fontId="1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4"/>
  <sheetViews>
    <sheetView topLeftCell="A55" zoomScale="60" zoomScaleNormal="60" workbookViewId="0">
      <selection activeCell="O64" sqref="O64"/>
    </sheetView>
  </sheetViews>
  <sheetFormatPr defaultRowHeight="15" x14ac:dyDescent="0.25"/>
  <sheetData>
    <row r="1" spans="1:9" x14ac:dyDescent="0.25">
      <c r="A1" t="s">
        <v>0</v>
      </c>
      <c r="E1" t="s">
        <v>1</v>
      </c>
    </row>
    <row r="2" spans="1:9" x14ac:dyDescent="0.25">
      <c r="A2" t="s">
        <v>2</v>
      </c>
      <c r="E2" t="s">
        <v>3</v>
      </c>
      <c r="I2" t="s">
        <v>4</v>
      </c>
    </row>
    <row r="3" spans="1:9" x14ac:dyDescent="0.25">
      <c r="A3" t="s">
        <v>5</v>
      </c>
      <c r="E3" t="s">
        <v>6</v>
      </c>
    </row>
    <row r="5" spans="1:9" x14ac:dyDescent="0.25">
      <c r="A5" t="s">
        <v>7</v>
      </c>
      <c r="B5" t="s">
        <v>8</v>
      </c>
    </row>
    <row r="6" spans="1:9" x14ac:dyDescent="0.25">
      <c r="A6" t="s">
        <v>9</v>
      </c>
      <c r="B6" s="1" t="s">
        <v>42</v>
      </c>
    </row>
    <row r="9" spans="1:9" x14ac:dyDescent="0.25">
      <c r="A9" t="s">
        <v>10</v>
      </c>
      <c r="E9" t="s">
        <v>11</v>
      </c>
    </row>
    <row r="10" spans="1:9" x14ac:dyDescent="0.25">
      <c r="A10" t="s">
        <v>12</v>
      </c>
      <c r="E10" t="s">
        <v>13</v>
      </c>
    </row>
    <row r="11" spans="1:9" x14ac:dyDescent="0.25">
      <c r="A11" t="s">
        <v>14</v>
      </c>
      <c r="E11" t="s">
        <v>15</v>
      </c>
    </row>
    <row r="12" spans="1:9" x14ac:dyDescent="0.25">
      <c r="A12" t="s">
        <v>16</v>
      </c>
    </row>
    <row r="15" spans="1:9" x14ac:dyDescent="0.25">
      <c r="A15" t="s">
        <v>17</v>
      </c>
    </row>
    <row r="16" spans="1:9" x14ac:dyDescent="0.25">
      <c r="A16" t="s">
        <v>18</v>
      </c>
      <c r="E16" t="s">
        <v>19</v>
      </c>
    </row>
    <row r="17" spans="1:9" x14ac:dyDescent="0.25">
      <c r="A17" t="s">
        <v>20</v>
      </c>
      <c r="E17">
        <v>519</v>
      </c>
      <c r="F17" t="s">
        <v>21</v>
      </c>
    </row>
    <row r="18" spans="1:9" x14ac:dyDescent="0.25">
      <c r="A18" t="s">
        <v>22</v>
      </c>
      <c r="E18">
        <v>9</v>
      </c>
      <c r="F18" t="s">
        <v>21</v>
      </c>
    </row>
    <row r="19" spans="1:9" x14ac:dyDescent="0.25">
      <c r="A19" t="s">
        <v>23</v>
      </c>
      <c r="E19">
        <v>25</v>
      </c>
    </row>
    <row r="20" spans="1:9" x14ac:dyDescent="0.25">
      <c r="A20" t="s">
        <v>24</v>
      </c>
      <c r="E20">
        <v>0</v>
      </c>
      <c r="F20" t="s">
        <v>25</v>
      </c>
    </row>
    <row r="21" spans="1:9" x14ac:dyDescent="0.25">
      <c r="A21" t="s">
        <v>26</v>
      </c>
      <c r="E21" t="s">
        <v>27</v>
      </c>
    </row>
    <row r="22" spans="1:9" x14ac:dyDescent="0.25">
      <c r="A22" t="s">
        <v>28</v>
      </c>
      <c r="B22" s="1" t="s">
        <v>43</v>
      </c>
    </row>
    <row r="24" spans="1:9" x14ac:dyDescent="0.25">
      <c r="B24" t="s">
        <v>44</v>
      </c>
    </row>
    <row r="25" spans="1:9" x14ac:dyDescent="0.25">
      <c r="A25" s="2" t="s">
        <v>29</v>
      </c>
      <c r="B25" s="2">
        <v>4</v>
      </c>
      <c r="C25" s="2">
        <v>5</v>
      </c>
      <c r="D25" s="2">
        <v>6</v>
      </c>
      <c r="E25" s="2">
        <v>8</v>
      </c>
      <c r="F25" s="2">
        <v>9</v>
      </c>
      <c r="G25" s="2">
        <v>10</v>
      </c>
      <c r="H25" s="2">
        <v>11</v>
      </c>
      <c r="I25" s="2">
        <v>12</v>
      </c>
    </row>
    <row r="26" spans="1:9" x14ac:dyDescent="0.25">
      <c r="A26" s="2" t="s">
        <v>30</v>
      </c>
      <c r="F26">
        <v>0.20649999380111694</v>
      </c>
      <c r="G26">
        <v>0.20790000259876251</v>
      </c>
      <c r="H26">
        <v>0.20769999921321869</v>
      </c>
      <c r="I26">
        <v>0.20890000462532043</v>
      </c>
    </row>
    <row r="27" spans="1:9" x14ac:dyDescent="0.25">
      <c r="A27" s="2" t="s">
        <v>31</v>
      </c>
      <c r="F27">
        <v>0.21189999580383301</v>
      </c>
      <c r="G27">
        <v>0.20630000531673431</v>
      </c>
      <c r="H27">
        <v>0.19990000128746033</v>
      </c>
      <c r="I27">
        <v>0.20170000195503235</v>
      </c>
    </row>
    <row r="28" spans="1:9" x14ac:dyDescent="0.25">
      <c r="A28" s="2" t="s">
        <v>32</v>
      </c>
      <c r="F28">
        <v>0.20479999482631683</v>
      </c>
      <c r="G28">
        <v>0.20909999310970306</v>
      </c>
      <c r="H28">
        <v>0.20960000157356262</v>
      </c>
      <c r="I28">
        <v>0.20990000665187836</v>
      </c>
    </row>
    <row r="29" spans="1:9" x14ac:dyDescent="0.25">
      <c r="A29" s="2" t="s">
        <v>33</v>
      </c>
      <c r="F29">
        <v>0.20839999616146088</v>
      </c>
      <c r="G29">
        <v>0.20730000734329224</v>
      </c>
      <c r="H29">
        <v>0.20929999649524689</v>
      </c>
      <c r="I29">
        <v>0.21070000529289246</v>
      </c>
    </row>
    <row r="30" spans="1:9" x14ac:dyDescent="0.25">
      <c r="A30" s="2" t="s">
        <v>34</v>
      </c>
      <c r="F30">
        <v>0.20290000736713409</v>
      </c>
      <c r="G30">
        <v>0.20730000734329224</v>
      </c>
      <c r="H30">
        <v>0.21050000190734863</v>
      </c>
      <c r="I30">
        <v>0.21060000360012054</v>
      </c>
    </row>
    <row r="31" spans="1:9" x14ac:dyDescent="0.25">
      <c r="A31" s="2" t="s">
        <v>35</v>
      </c>
      <c r="F31">
        <v>0.20160000026226044</v>
      </c>
      <c r="G31">
        <v>0.20280000567436218</v>
      </c>
      <c r="H31">
        <v>0.20730000734329224</v>
      </c>
      <c r="I31">
        <v>0.20829999446868896</v>
      </c>
    </row>
    <row r="32" spans="1:9" x14ac:dyDescent="0.25">
      <c r="A32" s="2" t="s">
        <v>36</v>
      </c>
      <c r="F32">
        <v>0.20329999923706055</v>
      </c>
      <c r="G32">
        <v>0.20829999446868896</v>
      </c>
      <c r="H32">
        <v>0.20200000703334808</v>
      </c>
      <c r="I32">
        <v>0.20909999310970306</v>
      </c>
    </row>
    <row r="33" spans="1:8" x14ac:dyDescent="0.25">
      <c r="A33" s="2" t="s">
        <v>37</v>
      </c>
      <c r="B33">
        <v>0.19910000264644623</v>
      </c>
      <c r="C33">
        <v>0.19539999961853027</v>
      </c>
      <c r="D33">
        <v>0.21410000324249268</v>
      </c>
      <c r="E33">
        <v>0.19490000605583191</v>
      </c>
      <c r="F33">
        <v>0.20090000331401825</v>
      </c>
      <c r="G33">
        <v>0.20600000023841858</v>
      </c>
      <c r="H33">
        <v>0.21639999747276306</v>
      </c>
    </row>
    <row r="37" spans="1:8" x14ac:dyDescent="0.25">
      <c r="A37" t="s">
        <v>38</v>
      </c>
      <c r="B37" s="1" t="s">
        <v>45</v>
      </c>
    </row>
    <row r="42" spans="1:8" x14ac:dyDescent="0.25">
      <c r="A42" t="s">
        <v>39</v>
      </c>
    </row>
    <row r="43" spans="1:8" x14ac:dyDescent="0.25">
      <c r="A43" t="s">
        <v>18</v>
      </c>
      <c r="E43" t="s">
        <v>19</v>
      </c>
    </row>
    <row r="44" spans="1:8" x14ac:dyDescent="0.25">
      <c r="A44" t="s">
        <v>20</v>
      </c>
      <c r="E44">
        <v>620</v>
      </c>
      <c r="F44" t="s">
        <v>21</v>
      </c>
    </row>
    <row r="45" spans="1:8" x14ac:dyDescent="0.25">
      <c r="A45" t="s">
        <v>22</v>
      </c>
      <c r="E45">
        <v>9</v>
      </c>
      <c r="F45" t="s">
        <v>21</v>
      </c>
    </row>
    <row r="46" spans="1:8" x14ac:dyDescent="0.25">
      <c r="A46" t="s">
        <v>23</v>
      </c>
      <c r="E46">
        <v>25</v>
      </c>
    </row>
    <row r="47" spans="1:8" x14ac:dyDescent="0.25">
      <c r="A47" t="s">
        <v>24</v>
      </c>
      <c r="E47">
        <v>0</v>
      </c>
      <c r="F47" t="s">
        <v>25</v>
      </c>
    </row>
    <row r="48" spans="1:8" x14ac:dyDescent="0.25">
      <c r="A48" t="s">
        <v>26</v>
      </c>
      <c r="E48" t="s">
        <v>27</v>
      </c>
    </row>
    <row r="49" spans="1:9" x14ac:dyDescent="0.25">
      <c r="A49" t="s">
        <v>28</v>
      </c>
      <c r="B49" s="1" t="s">
        <v>46</v>
      </c>
    </row>
    <row r="51" spans="1:9" x14ac:dyDescent="0.25">
      <c r="B51" t="s">
        <v>47</v>
      </c>
    </row>
    <row r="52" spans="1:9" x14ac:dyDescent="0.25">
      <c r="A52" s="2" t="s">
        <v>29</v>
      </c>
      <c r="B52" s="2">
        <v>4</v>
      </c>
      <c r="C52" s="2">
        <v>5</v>
      </c>
      <c r="D52" s="2">
        <v>6</v>
      </c>
      <c r="E52" s="2">
        <v>8</v>
      </c>
      <c r="F52" s="2">
        <v>9</v>
      </c>
      <c r="G52" s="2">
        <v>10</v>
      </c>
      <c r="H52" s="2">
        <v>11</v>
      </c>
      <c r="I52" s="2">
        <v>12</v>
      </c>
    </row>
    <row r="53" spans="1:9" x14ac:dyDescent="0.25">
      <c r="A53" s="2" t="s">
        <v>30</v>
      </c>
      <c r="F53">
        <v>0.20239999890327454</v>
      </c>
      <c r="G53">
        <v>0.20810000598430634</v>
      </c>
      <c r="H53">
        <v>0.20679999887943268</v>
      </c>
      <c r="I53">
        <v>0.20569999516010284</v>
      </c>
    </row>
    <row r="54" spans="1:9" x14ac:dyDescent="0.25">
      <c r="A54" s="2" t="s">
        <v>31</v>
      </c>
      <c r="F54">
        <v>0.20489999651908875</v>
      </c>
      <c r="G54">
        <v>0.19789999723434448</v>
      </c>
      <c r="H54">
        <v>0.20600000023841858</v>
      </c>
      <c r="I54">
        <v>0.19799999892711639</v>
      </c>
    </row>
    <row r="55" spans="1:9" x14ac:dyDescent="0.25">
      <c r="A55" s="2" t="s">
        <v>32</v>
      </c>
      <c r="F55">
        <v>0.18230000138282776</v>
      </c>
      <c r="G55">
        <v>0.18809999525547028</v>
      </c>
      <c r="H55">
        <v>0.20090000331401825</v>
      </c>
      <c r="I55">
        <v>0.20110000669956207</v>
      </c>
    </row>
    <row r="56" spans="1:9" x14ac:dyDescent="0.25">
      <c r="A56" s="2" t="s">
        <v>33</v>
      </c>
      <c r="F56">
        <v>0.17779999971389771</v>
      </c>
      <c r="G56">
        <v>0.17730000615119934</v>
      </c>
      <c r="H56">
        <v>0.18569999933242798</v>
      </c>
      <c r="I56">
        <v>0.17759999632835388</v>
      </c>
    </row>
    <row r="57" spans="1:9" x14ac:dyDescent="0.25">
      <c r="A57" s="2" t="s">
        <v>34</v>
      </c>
      <c r="F57">
        <v>0.16609999537467957</v>
      </c>
      <c r="G57">
        <v>0.16830000281333923</v>
      </c>
      <c r="H57">
        <v>0.18060000240802765</v>
      </c>
      <c r="I57">
        <v>0.17550000548362732</v>
      </c>
    </row>
    <row r="58" spans="1:9" x14ac:dyDescent="0.25">
      <c r="A58" s="2" t="s">
        <v>35</v>
      </c>
      <c r="F58">
        <v>0.15070000290870667</v>
      </c>
      <c r="G58">
        <v>0.15250000357627869</v>
      </c>
      <c r="H58">
        <v>0.17980000376701355</v>
      </c>
      <c r="I58">
        <v>0.17030000686645508</v>
      </c>
    </row>
    <row r="59" spans="1:9" x14ac:dyDescent="0.25">
      <c r="A59" s="2" t="s">
        <v>36</v>
      </c>
      <c r="F59">
        <v>0.15369999408721924</v>
      </c>
      <c r="G59">
        <v>0.13079999387264252</v>
      </c>
      <c r="H59">
        <v>0.1460999995470047</v>
      </c>
      <c r="I59">
        <v>0.14309999346733093</v>
      </c>
    </row>
    <row r="60" spans="1:9" x14ac:dyDescent="0.25">
      <c r="A60" s="2" t="s">
        <v>37</v>
      </c>
      <c r="B60">
        <v>0.18760000169277191</v>
      </c>
      <c r="C60">
        <v>0.18629999458789825</v>
      </c>
      <c r="D60">
        <v>0.14959999918937683</v>
      </c>
      <c r="E60">
        <v>0.20499999821186066</v>
      </c>
      <c r="F60">
        <v>0.21119999885559082</v>
      </c>
      <c r="G60">
        <v>0.2012999951839447</v>
      </c>
      <c r="H60">
        <v>0.13580000400543213</v>
      </c>
    </row>
    <row r="64" spans="1:9" x14ac:dyDescent="0.25">
      <c r="A64" t="s">
        <v>38</v>
      </c>
      <c r="B64" s="1" t="s">
        <v>48</v>
      </c>
    </row>
    <row r="65" spans="1:23" x14ac:dyDescent="0.25">
      <c r="A65" t="s">
        <v>161</v>
      </c>
      <c r="B65" s="1"/>
    </row>
    <row r="66" spans="1:23" x14ac:dyDescent="0.25">
      <c r="A66" s="2" t="s">
        <v>29</v>
      </c>
      <c r="B66" s="2">
        <v>4</v>
      </c>
      <c r="C66" s="2">
        <v>5</v>
      </c>
      <c r="D66" s="2">
        <v>6</v>
      </c>
      <c r="E66" s="2">
        <v>8</v>
      </c>
      <c r="F66" s="2">
        <v>9</v>
      </c>
      <c r="G66" s="2">
        <v>10</v>
      </c>
      <c r="H66" s="2">
        <v>11</v>
      </c>
      <c r="I66" s="2">
        <v>12</v>
      </c>
    </row>
    <row r="67" spans="1:23" x14ac:dyDescent="0.25">
      <c r="A67" s="2" t="s">
        <v>30</v>
      </c>
      <c r="F67" s="3">
        <f t="shared" ref="F67:I73" si="0">F53/F26</f>
        <v>0.98014530256213384</v>
      </c>
      <c r="G67" s="3">
        <f t="shared" si="0"/>
        <v>1.0009620172344578</v>
      </c>
      <c r="H67" s="3">
        <f t="shared" si="0"/>
        <v>0.99566682553107722</v>
      </c>
      <c r="I67" s="3">
        <f t="shared" si="0"/>
        <v>0.98468162089820399</v>
      </c>
    </row>
    <row r="68" spans="1:23" x14ac:dyDescent="0.25">
      <c r="A68" s="2" t="s">
        <v>31</v>
      </c>
      <c r="F68" s="3">
        <f t="shared" si="0"/>
        <v>0.96696555250890837</v>
      </c>
      <c r="G68" s="3">
        <f t="shared" si="0"/>
        <v>0.95928256002953938</v>
      </c>
      <c r="H68" s="3">
        <f t="shared" si="0"/>
        <v>1.0305152521844476</v>
      </c>
      <c r="I68" s="3">
        <f t="shared" si="0"/>
        <v>0.9816559098063824</v>
      </c>
    </row>
    <row r="69" spans="1:23" x14ac:dyDescent="0.25">
      <c r="A69" s="2" t="s">
        <v>32</v>
      </c>
      <c r="F69" s="3">
        <f t="shared" si="0"/>
        <v>0.89013674798883435</v>
      </c>
      <c r="G69" s="3">
        <f t="shared" si="0"/>
        <v>0.89956959088365318</v>
      </c>
      <c r="H69" s="3">
        <f t="shared" si="0"/>
        <v>0.95849237502753093</v>
      </c>
      <c r="I69" s="3">
        <f t="shared" si="0"/>
        <v>0.95807527549576887</v>
      </c>
    </row>
    <row r="70" spans="1:23" x14ac:dyDescent="0.25">
      <c r="A70" s="2" t="s">
        <v>33</v>
      </c>
      <c r="F70" s="3">
        <f t="shared" si="0"/>
        <v>0.85316700090601061</v>
      </c>
      <c r="G70" s="3">
        <f t="shared" si="0"/>
        <v>0.85528219908640712</v>
      </c>
      <c r="H70" s="3">
        <f t="shared" si="0"/>
        <v>0.88724320325846329</v>
      </c>
      <c r="I70" s="3">
        <f t="shared" si="0"/>
        <v>0.84290456510180667</v>
      </c>
    </row>
    <row r="71" spans="1:23" x14ac:dyDescent="0.25">
      <c r="A71" s="2" t="s">
        <v>34</v>
      </c>
      <c r="F71" s="3">
        <f t="shared" si="0"/>
        <v>0.81862981440967941</v>
      </c>
      <c r="G71" s="3">
        <f t="shared" si="0"/>
        <v>0.81186684443590806</v>
      </c>
      <c r="H71" s="3">
        <f t="shared" si="0"/>
        <v>0.85795724832115949</v>
      </c>
      <c r="I71" s="3">
        <f t="shared" si="0"/>
        <v>0.83333334512595836</v>
      </c>
    </row>
    <row r="72" spans="1:23" x14ac:dyDescent="0.25">
      <c r="A72" s="2" t="s">
        <v>35</v>
      </c>
      <c r="F72" s="3">
        <f t="shared" si="0"/>
        <v>0.74751985472550486</v>
      </c>
      <c r="G72" s="3">
        <f t="shared" si="0"/>
        <v>0.75197238318202675</v>
      </c>
      <c r="H72" s="3">
        <f t="shared" si="0"/>
        <v>0.86734200384885551</v>
      </c>
      <c r="I72" s="3">
        <f t="shared" si="0"/>
        <v>0.81757086600429107</v>
      </c>
    </row>
    <row r="73" spans="1:23" x14ac:dyDescent="0.25">
      <c r="A73" s="2" t="s">
        <v>36</v>
      </c>
      <c r="F73" s="3">
        <f t="shared" si="0"/>
        <v>0.75602555171677799</v>
      </c>
      <c r="G73" s="3">
        <f t="shared" si="0"/>
        <v>0.6279404577339246</v>
      </c>
      <c r="H73" s="3">
        <f t="shared" si="0"/>
        <v>0.72326729930700018</v>
      </c>
      <c r="I73" s="3">
        <f t="shared" si="0"/>
        <v>0.68436154080719824</v>
      </c>
    </row>
    <row r="74" spans="1:23" x14ac:dyDescent="0.25">
      <c r="A74" s="2" t="s">
        <v>37</v>
      </c>
      <c r="B74" s="3">
        <f t="shared" ref="B74:E74" si="1">B60/B33</f>
        <v>0.94224007633944862</v>
      </c>
      <c r="C74" s="3">
        <f t="shared" si="1"/>
        <v>0.95342883803276612</v>
      </c>
      <c r="D74" s="103">
        <f t="shared" si="1"/>
        <v>0.69873889268435818</v>
      </c>
      <c r="E74" s="3">
        <f t="shared" si="1"/>
        <v>1.0518214050395436</v>
      </c>
      <c r="F74" s="3">
        <f>F60/F33</f>
        <v>1.0512692651650837</v>
      </c>
      <c r="G74" s="3">
        <f>G60/G33</f>
        <v>0.97718444150954265</v>
      </c>
      <c r="H74" s="3">
        <f>H60/H33</f>
        <v>0.62754161548696152</v>
      </c>
    </row>
    <row r="76" spans="1:23" x14ac:dyDescent="0.25">
      <c r="A76" s="7" t="s">
        <v>74</v>
      </c>
      <c r="B76" s="7" t="s">
        <v>75</v>
      </c>
      <c r="C76" s="7" t="s">
        <v>76</v>
      </c>
      <c r="D76" s="7" t="s">
        <v>77</v>
      </c>
      <c r="E76" s="7" t="s">
        <v>78</v>
      </c>
      <c r="F76" s="7" t="s">
        <v>79</v>
      </c>
      <c r="G76" s="7" t="s">
        <v>80</v>
      </c>
      <c r="H76" s="7" t="s">
        <v>79</v>
      </c>
    </row>
    <row r="77" spans="1:23" x14ac:dyDescent="0.25">
      <c r="A77">
        <v>160</v>
      </c>
      <c r="B77">
        <f>LOG10(A77)</f>
        <v>2.2041199826559246</v>
      </c>
      <c r="C77" s="3">
        <f t="shared" ref="C77:C82" si="2">AVERAGE(F67:G67)</f>
        <v>0.9905536598982958</v>
      </c>
      <c r="D77">
        <f>_xlfn.STDEV.S(F67:G67)</f>
        <v>1.4719640106825752E-2</v>
      </c>
      <c r="E77" s="3">
        <f>(C77-0.6454)/0.1602</f>
        <v>2.1545172278295617</v>
      </c>
      <c r="F77">
        <f t="shared" ref="F77:F82" si="3">1-(B77-E77)/B77</f>
        <v>0.97749543799036176</v>
      </c>
      <c r="G77" s="3">
        <f>10^E77</f>
        <v>142.73064482098857</v>
      </c>
      <c r="H77">
        <f t="shared" ref="H77:H82" si="4">1-(A77-G77)/A77</f>
        <v>0.89206653013117854</v>
      </c>
      <c r="R77" t="s">
        <v>50</v>
      </c>
      <c r="U77" s="20" t="s">
        <v>90</v>
      </c>
      <c r="V77" s="19">
        <f>(3.3*T93)/S94</f>
        <v>0.26155219085084125</v>
      </c>
      <c r="W77" s="20" t="s">
        <v>91</v>
      </c>
    </row>
    <row r="78" spans="1:23" ht="15.75" thickBot="1" x14ac:dyDescent="0.3">
      <c r="A78">
        <v>80</v>
      </c>
      <c r="B78">
        <f t="shared" ref="B78:B82" si="5">LOG10(A78)</f>
        <v>1.9030899869919435</v>
      </c>
      <c r="C78" s="3">
        <f t="shared" si="2"/>
        <v>0.96312405626922382</v>
      </c>
      <c r="D78">
        <f t="shared" ref="D78:D83" si="6">_xlfn.STDEV.S(F68:G68)</f>
        <v>5.432696081967058E-3</v>
      </c>
      <c r="E78" s="3">
        <f t="shared" ref="E78:E82" si="7">(C78-0.6454)/0.1602</f>
        <v>1.983296231393407</v>
      </c>
      <c r="F78">
        <f t="shared" si="3"/>
        <v>1.0421452716107444</v>
      </c>
      <c r="G78" s="3">
        <f t="shared" ref="G78:G82" si="8">10^E78</f>
        <v>96.226841593603851</v>
      </c>
      <c r="H78">
        <f t="shared" si="4"/>
        <v>1.2028355199200482</v>
      </c>
      <c r="U78" s="20" t="s">
        <v>95</v>
      </c>
      <c r="V78" s="19">
        <f>(10*T93)/S94</f>
        <v>0.79258239651770079</v>
      </c>
      <c r="W78" s="20" t="s">
        <v>96</v>
      </c>
    </row>
    <row r="79" spans="1:23" x14ac:dyDescent="0.25">
      <c r="A79">
        <v>40</v>
      </c>
      <c r="B79">
        <f t="shared" si="5"/>
        <v>1.6020599913279623</v>
      </c>
      <c r="C79" s="3">
        <f t="shared" si="2"/>
        <v>0.89485316943624382</v>
      </c>
      <c r="D79">
        <f t="shared" si="6"/>
        <v>6.6700271767937361E-3</v>
      </c>
      <c r="E79" s="3">
        <f t="shared" si="7"/>
        <v>1.5571358891151301</v>
      </c>
      <c r="F79">
        <f t="shared" si="3"/>
        <v>0.97195853934558707</v>
      </c>
      <c r="G79" s="3">
        <f t="shared" si="8"/>
        <v>36.069148438006053</v>
      </c>
      <c r="H79">
        <f t="shared" si="4"/>
        <v>0.90172871095015128</v>
      </c>
      <c r="R79" s="6" t="s">
        <v>51</v>
      </c>
      <c r="S79" s="6"/>
    </row>
    <row r="80" spans="1:23" x14ac:dyDescent="0.25">
      <c r="A80">
        <v>20</v>
      </c>
      <c r="B80">
        <f t="shared" si="5"/>
        <v>1.3010299956639813</v>
      </c>
      <c r="C80" s="3">
        <f t="shared" si="2"/>
        <v>0.85422459999620881</v>
      </c>
      <c r="D80">
        <f t="shared" si="6"/>
        <v>1.4956709769118226E-3</v>
      </c>
      <c r="E80" s="3">
        <f t="shared" si="7"/>
        <v>1.303524344545623</v>
      </c>
      <c r="F80">
        <f t="shared" si="3"/>
        <v>1.0019172108944105</v>
      </c>
      <c r="G80" s="3">
        <f t="shared" si="8"/>
        <v>20.115199515717102</v>
      </c>
      <c r="H80">
        <f t="shared" si="4"/>
        <v>1.0057599757858551</v>
      </c>
      <c r="R80" t="s">
        <v>52</v>
      </c>
      <c r="S80">
        <v>0.99474346467442554</v>
      </c>
      <c r="U80" s="20" t="s">
        <v>90</v>
      </c>
      <c r="V80" s="19">
        <f>3.3*C83/S94</f>
        <v>14.250800095404941</v>
      </c>
      <c r="W80" s="20" t="s">
        <v>155</v>
      </c>
    </row>
    <row r="81" spans="1:26" x14ac:dyDescent="0.25">
      <c r="A81">
        <v>10</v>
      </c>
      <c r="B81">
        <f t="shared" si="5"/>
        <v>1</v>
      </c>
      <c r="C81" s="3">
        <f t="shared" si="2"/>
        <v>0.81524832942279368</v>
      </c>
      <c r="D81">
        <f t="shared" si="6"/>
        <v>4.7821419294147285E-3</v>
      </c>
      <c r="E81" s="3">
        <f t="shared" si="7"/>
        <v>1.0602267754231816</v>
      </c>
      <c r="F81">
        <f t="shared" si="3"/>
        <v>1.0602267754231816</v>
      </c>
      <c r="G81" s="3">
        <f t="shared" si="8"/>
        <v>11.487533090948876</v>
      </c>
      <c r="H81">
        <f t="shared" si="4"/>
        <v>1.1487533090948876</v>
      </c>
      <c r="R81" t="s">
        <v>53</v>
      </c>
      <c r="S81">
        <v>0.9895145605124801</v>
      </c>
      <c r="U81" s="20" t="s">
        <v>95</v>
      </c>
      <c r="V81" s="19">
        <f>10*C83/S94</f>
        <v>43.184242713348304</v>
      </c>
      <c r="W81" s="20" t="s">
        <v>156</v>
      </c>
    </row>
    <row r="82" spans="1:26" x14ac:dyDescent="0.25">
      <c r="A82">
        <v>5</v>
      </c>
      <c r="B82">
        <f t="shared" si="5"/>
        <v>0.69897000433601886</v>
      </c>
      <c r="C82" s="3">
        <f t="shared" si="2"/>
        <v>0.74974611895376575</v>
      </c>
      <c r="D82">
        <f t="shared" si="6"/>
        <v>3.1484130650326981E-3</v>
      </c>
      <c r="E82" s="3">
        <f t="shared" si="7"/>
        <v>0.65134905713961155</v>
      </c>
      <c r="F82">
        <f t="shared" si="3"/>
        <v>0.93186982717284916</v>
      </c>
      <c r="G82" s="3">
        <f t="shared" si="8"/>
        <v>4.4807329112399232</v>
      </c>
      <c r="H82">
        <f t="shared" si="4"/>
        <v>0.8961465822479846</v>
      </c>
      <c r="R82" t="s">
        <v>54</v>
      </c>
      <c r="S82">
        <v>0.98689320064060015</v>
      </c>
    </row>
    <row r="83" spans="1:26" x14ac:dyDescent="0.25">
      <c r="A83">
        <v>0</v>
      </c>
      <c r="B83">
        <v>0</v>
      </c>
      <c r="C83" s="3">
        <f>AVERAGE(F73:G73)</f>
        <v>0.69198300472535124</v>
      </c>
      <c r="D83">
        <f t="shared" si="6"/>
        <v>9.0569838524191898E-2</v>
      </c>
      <c r="E83" s="3"/>
      <c r="G83" s="3"/>
      <c r="R83" t="s">
        <v>55</v>
      </c>
      <c r="S83">
        <v>1.0386067616083114E-2</v>
      </c>
    </row>
    <row r="84" spans="1:26" ht="15.75" thickBot="1" x14ac:dyDescent="0.3">
      <c r="A84" s="7" t="s">
        <v>74</v>
      </c>
      <c r="B84" s="7" t="s">
        <v>75</v>
      </c>
      <c r="C84" s="7" t="s">
        <v>76</v>
      </c>
      <c r="D84" s="7" t="s">
        <v>77</v>
      </c>
      <c r="E84" s="7" t="s">
        <v>78</v>
      </c>
      <c r="F84" s="7" t="s">
        <v>79</v>
      </c>
      <c r="G84" s="7" t="s">
        <v>80</v>
      </c>
      <c r="H84" s="7" t="s">
        <v>79</v>
      </c>
      <c r="R84" s="4" t="s">
        <v>56</v>
      </c>
      <c r="S84" s="4">
        <v>6</v>
      </c>
    </row>
    <row r="85" spans="1:26" x14ac:dyDescent="0.25">
      <c r="A85">
        <v>160</v>
      </c>
      <c r="B85">
        <f t="shared" ref="B85:B89" si="9">LOG10(A85)</f>
        <v>2.2041199826559246</v>
      </c>
      <c r="C85" s="3">
        <f>AVERAGE(H67:I67,H68)</f>
        <v>1.0036212328712431</v>
      </c>
      <c r="D85">
        <f>_xlfn.STDEV.S(H67:I67,H68)</f>
        <v>2.3929790770518541E-2</v>
      </c>
      <c r="E85" s="3">
        <f>(C85-0.6454)/0.1602</f>
        <v>2.2360875959503312</v>
      </c>
      <c r="F85">
        <f>1-(B85-E85)/B85</f>
        <v>1.0145035721947797</v>
      </c>
      <c r="G85" s="3">
        <f>10^E85</f>
        <v>172.22159059615072</v>
      </c>
      <c r="H85">
        <f>1-(A85-G85)/A85</f>
        <v>1.0763849412259421</v>
      </c>
    </row>
    <row r="86" spans="1:26" ht="15.75" thickBot="1" x14ac:dyDescent="0.3">
      <c r="A86">
        <v>120</v>
      </c>
      <c r="B86">
        <f t="shared" si="9"/>
        <v>2.0791812460476247</v>
      </c>
      <c r="C86" s="3">
        <f>AVERAGE(I68:I69,H69)</f>
        <v>0.96607452010989403</v>
      </c>
      <c r="D86">
        <f>_xlfn.STDEV.S(I68:I69,H69)</f>
        <v>1.3495490789898066E-2</v>
      </c>
      <c r="E86" s="3">
        <f>(C86-0.6454)/0.1602</f>
        <v>2.0017136086759928</v>
      </c>
      <c r="F86">
        <f>1-(B86-E86)/B86</f>
        <v>0.96274127735670356</v>
      </c>
      <c r="G86" s="3">
        <f t="shared" ref="G86:G89" si="10">10^E86</f>
        <v>100.39535244328414</v>
      </c>
      <c r="H86">
        <f>1-(A86-G86)/A86</f>
        <v>0.83662793702736782</v>
      </c>
      <c r="R86" t="s">
        <v>57</v>
      </c>
    </row>
    <row r="87" spans="1:26" x14ac:dyDescent="0.25">
      <c r="A87">
        <v>30</v>
      </c>
      <c r="B87">
        <f t="shared" si="9"/>
        <v>1.4771212547196624</v>
      </c>
      <c r="C87" s="3">
        <f>AVERAGE(H70:I70,H71)</f>
        <v>0.86270167222714311</v>
      </c>
      <c r="D87">
        <f>_xlfn.STDEV.S(H70:I70,H71)</f>
        <v>2.2546859582799627E-2</v>
      </c>
      <c r="E87" s="3">
        <f>(C87-0.6454)/0.1602</f>
        <v>1.3564399015427162</v>
      </c>
      <c r="F87">
        <f>1-(B87-E87)/B87</f>
        <v>0.91829962991098535</v>
      </c>
      <c r="G87" s="3">
        <f t="shared" si="10"/>
        <v>22.721651871789661</v>
      </c>
      <c r="H87">
        <f>1-(A87-G87)/A87</f>
        <v>0.75738839572632199</v>
      </c>
      <c r="R87" s="5"/>
      <c r="S87" s="5" t="s">
        <v>62</v>
      </c>
      <c r="T87" s="5" t="s">
        <v>63</v>
      </c>
      <c r="U87" s="5" t="s">
        <v>64</v>
      </c>
      <c r="V87" s="5" t="s">
        <v>35</v>
      </c>
      <c r="W87" s="5" t="s">
        <v>65</v>
      </c>
    </row>
    <row r="88" spans="1:26" x14ac:dyDescent="0.25">
      <c r="A88">
        <v>15</v>
      </c>
      <c r="B88">
        <f t="shared" si="9"/>
        <v>1.1760912590556813</v>
      </c>
      <c r="C88" s="3">
        <f>AVERAGE(I71:I72,H72)</f>
        <v>0.83941540499303502</v>
      </c>
      <c r="D88">
        <f>_xlfn.STDEV.S(I71:I72,H72)</f>
        <v>2.5436885221183956E-2</v>
      </c>
      <c r="E88" s="3">
        <f>(C88-0.6454)/0.1602</f>
        <v>1.2110824281712549</v>
      </c>
      <c r="F88">
        <f>1-(B88-E88)/B88</f>
        <v>1.0297520867076837</v>
      </c>
      <c r="G88" s="3">
        <f t="shared" si="10"/>
        <v>16.258573107361343</v>
      </c>
      <c r="H88">
        <f>1-(A88-G88)/A88</f>
        <v>1.0839048738240895</v>
      </c>
      <c r="R88" t="s">
        <v>58</v>
      </c>
      <c r="S88">
        <v>1</v>
      </c>
      <c r="T88">
        <v>4.0719068416993319E-2</v>
      </c>
      <c r="U88">
        <v>4.0719068416993319E-2</v>
      </c>
      <c r="V88">
        <v>377.4813870950195</v>
      </c>
      <c r="W88">
        <v>4.1374123349667287E-5</v>
      </c>
    </row>
    <row r="89" spans="1:26" x14ac:dyDescent="0.25">
      <c r="A89">
        <v>5</v>
      </c>
      <c r="B89">
        <f t="shared" si="9"/>
        <v>0.69897000433601886</v>
      </c>
      <c r="C89" s="3">
        <f>AVERAGE(H73:I73,H74)</f>
        <v>0.67839015186705343</v>
      </c>
      <c r="D89">
        <f>_xlfn.STDEV.S(H73:I73,H74)</f>
        <v>4.8141403698992474E-2</v>
      </c>
      <c r="E89" s="3">
        <f>(C89-0.6454)/0.1602</f>
        <v>0.20593103537486548</v>
      </c>
      <c r="F89">
        <f>1-(B89-E89)/B89</f>
        <v>0.29462070489060266</v>
      </c>
      <c r="G89" s="3">
        <f t="shared" si="10"/>
        <v>1.6066860959544609</v>
      </c>
      <c r="H89">
        <f>1-(A89-G89)/A89</f>
        <v>0.3213372191908922</v>
      </c>
      <c r="R89" t="s">
        <v>59</v>
      </c>
      <c r="S89">
        <v>4</v>
      </c>
      <c r="T89">
        <v>4.3148160210340148E-4</v>
      </c>
      <c r="U89">
        <v>1.0787040052585037E-4</v>
      </c>
    </row>
    <row r="90" spans="1:26" ht="15.75" thickBot="1" x14ac:dyDescent="0.3">
      <c r="A90" s="7" t="s">
        <v>74</v>
      </c>
      <c r="B90" s="7" t="s">
        <v>75</v>
      </c>
      <c r="C90" s="7" t="s">
        <v>76</v>
      </c>
      <c r="D90" s="7" t="s">
        <v>77</v>
      </c>
      <c r="E90" s="7" t="s">
        <v>78</v>
      </c>
      <c r="F90" s="7" t="s">
        <v>79</v>
      </c>
      <c r="G90" s="7"/>
      <c r="H90" s="7"/>
      <c r="R90" s="4" t="s">
        <v>60</v>
      </c>
      <c r="S90" s="4">
        <v>5</v>
      </c>
      <c r="T90" s="4">
        <v>4.1150550019096718E-2</v>
      </c>
      <c r="U90" s="4"/>
      <c r="V90" s="4"/>
      <c r="W90" s="4"/>
    </row>
    <row r="91" spans="1:26" ht="15.75" thickBot="1" x14ac:dyDescent="0.3">
      <c r="A91" t="s">
        <v>160</v>
      </c>
      <c r="B91">
        <f>B77</f>
        <v>2.2041199826559246</v>
      </c>
      <c r="C91" s="3">
        <v>1.0036212328712399</v>
      </c>
      <c r="D91">
        <v>2.3929790770518541E-2</v>
      </c>
      <c r="E91" s="3">
        <v>2.2360875959503312</v>
      </c>
      <c r="F91">
        <v>1.0145035721947797</v>
      </c>
      <c r="G91" s="3"/>
    </row>
    <row r="92" spans="1:26" x14ac:dyDescent="0.25">
      <c r="A92" t="s">
        <v>40</v>
      </c>
      <c r="B92">
        <v>2.2041199826559246</v>
      </c>
      <c r="C92" s="3">
        <f>AVERAGE(B74:C74)</f>
        <v>0.94783445718610737</v>
      </c>
      <c r="D92" s="3">
        <f>_xlfn.STDEV.S(B74:C74)</f>
        <v>7.9116492664250866E-3</v>
      </c>
      <c r="E92" s="3">
        <f>(C92-0.6454)/0.1602</f>
        <v>1.8878555379906827</v>
      </c>
      <c r="F92">
        <f>1-(B92-E92)/B92</f>
        <v>0.85651214672798848</v>
      </c>
      <c r="G92" s="3"/>
      <c r="R92" s="5"/>
      <c r="S92" s="5" t="s">
        <v>66</v>
      </c>
      <c r="T92" s="5" t="s">
        <v>55</v>
      </c>
      <c r="U92" s="5" t="s">
        <v>67</v>
      </c>
      <c r="V92" s="5" t="s">
        <v>68</v>
      </c>
      <c r="W92" s="5" t="s">
        <v>69</v>
      </c>
      <c r="X92" s="5" t="s">
        <v>70</v>
      </c>
      <c r="Y92" s="5" t="s">
        <v>71</v>
      </c>
      <c r="Z92" s="5" t="s">
        <v>72</v>
      </c>
    </row>
    <row r="93" spans="1:26" x14ac:dyDescent="0.25">
      <c r="A93" t="s">
        <v>41</v>
      </c>
      <c r="B93">
        <v>2.2041199826559246</v>
      </c>
      <c r="C93" s="3">
        <f>AVERAGE(E74:G74)</f>
        <v>1.0267583705713899</v>
      </c>
      <c r="D93">
        <f>_xlfn.STDEV.S(E74:G74)</f>
        <v>4.2933169538039523E-2</v>
      </c>
      <c r="E93" s="3">
        <f>(C93-0.6454)/0.1602</f>
        <v>2.3805141733544937</v>
      </c>
      <c r="F93">
        <f>1-(B93-E93)/B93</f>
        <v>1.080029305158795</v>
      </c>
      <c r="G93" s="3"/>
      <c r="R93" t="s">
        <v>61</v>
      </c>
      <c r="S93">
        <v>0.64536318971108197</v>
      </c>
      <c r="T93">
        <v>1.2700316452816033E-2</v>
      </c>
      <c r="U93">
        <v>50.814733011474374</v>
      </c>
      <c r="V93">
        <v>8.9757802290088931E-7</v>
      </c>
      <c r="W93">
        <v>0.61010145826119788</v>
      </c>
      <c r="X93">
        <v>0.68062492116096607</v>
      </c>
      <c r="Y93">
        <v>0.61010145826119788</v>
      </c>
      <c r="Z93">
        <v>0.68062492116096607</v>
      </c>
    </row>
    <row r="94" spans="1:26" ht="15.75" thickBot="1" x14ac:dyDescent="0.3">
      <c r="A94" t="s">
        <v>104</v>
      </c>
      <c r="B94">
        <v>0</v>
      </c>
      <c r="C94" s="3">
        <f>C83</f>
        <v>0.69198300472535124</v>
      </c>
      <c r="D94">
        <f>D83</f>
        <v>9.0569838524191898E-2</v>
      </c>
      <c r="R94" s="4" t="s">
        <v>73</v>
      </c>
      <c r="S94" s="4">
        <v>0.16023969884539815</v>
      </c>
      <c r="T94" s="4">
        <v>8.2475004697409472E-3</v>
      </c>
      <c r="U94" s="4">
        <v>19.428880232659296</v>
      </c>
      <c r="V94" s="4">
        <v>4.1374123349667361E-5</v>
      </c>
      <c r="W94" s="4">
        <v>0.13734096653606939</v>
      </c>
      <c r="X94" s="4">
        <v>0.18313843115472692</v>
      </c>
      <c r="Y94" s="4">
        <v>0.13734096653606939</v>
      </c>
      <c r="Z94" s="4">
        <v>0.18313843115472692</v>
      </c>
    </row>
  </sheetData>
  <pageMargins left="0.7" right="0.7" top="0.75" bottom="0.75" header="0.3" footer="0.3"/>
  <pageSetup orientation="portrait" horizontalDpi="4294967293" verticalDpi="4294967293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286D2-460D-4AC2-9882-F7C8E8A8673A}">
  <dimension ref="A2:M14"/>
  <sheetViews>
    <sheetView workbookViewId="0">
      <selection activeCell="J20" sqref="J20"/>
    </sheetView>
  </sheetViews>
  <sheetFormatPr defaultRowHeight="15" x14ac:dyDescent="0.25"/>
  <sheetData>
    <row r="2" spans="1:13" x14ac:dyDescent="0.25">
      <c r="A2" s="2"/>
      <c r="B2" s="2">
        <v>1</v>
      </c>
      <c r="C2" s="85">
        <v>2</v>
      </c>
      <c r="D2" s="85">
        <v>3</v>
      </c>
      <c r="E2" s="85">
        <v>4</v>
      </c>
      <c r="F2" s="85">
        <v>5</v>
      </c>
      <c r="G2" s="85">
        <v>6</v>
      </c>
      <c r="H2" s="85">
        <v>7</v>
      </c>
      <c r="I2" s="85">
        <v>8</v>
      </c>
      <c r="J2" s="85">
        <v>9</v>
      </c>
      <c r="K2" s="85">
        <v>10</v>
      </c>
      <c r="L2" s="85">
        <v>11</v>
      </c>
      <c r="M2" s="85">
        <v>12</v>
      </c>
    </row>
    <row r="3" spans="1:13" x14ac:dyDescent="0.25">
      <c r="A3" s="2" t="s">
        <v>30</v>
      </c>
      <c r="B3" s="36"/>
      <c r="C3" s="36"/>
      <c r="D3" s="36"/>
      <c r="E3" s="36"/>
      <c r="F3" s="93"/>
      <c r="G3" s="93"/>
      <c r="H3" s="93"/>
      <c r="I3" s="93"/>
      <c r="J3" s="86" t="s">
        <v>214</v>
      </c>
      <c r="K3" s="86"/>
      <c r="L3" s="87" t="s">
        <v>214</v>
      </c>
      <c r="M3" s="87"/>
    </row>
    <row r="4" spans="1:13" x14ac:dyDescent="0.25">
      <c r="A4" s="2" t="s">
        <v>31</v>
      </c>
      <c r="B4" s="36"/>
      <c r="C4" s="36"/>
      <c r="D4" s="88"/>
      <c r="E4" s="88"/>
      <c r="F4" s="93"/>
      <c r="G4" s="93"/>
      <c r="H4" s="92"/>
      <c r="I4" s="92"/>
      <c r="J4" s="86" t="s">
        <v>215</v>
      </c>
      <c r="K4" s="86"/>
      <c r="L4" s="89" t="s">
        <v>214</v>
      </c>
      <c r="M4" s="89" t="s">
        <v>216</v>
      </c>
    </row>
    <row r="5" spans="1:13" x14ac:dyDescent="0.25">
      <c r="A5" s="2" t="s">
        <v>32</v>
      </c>
      <c r="B5" s="36"/>
      <c r="C5" s="36"/>
      <c r="D5" s="36"/>
      <c r="E5" s="36"/>
      <c r="F5" s="93"/>
      <c r="G5" s="93"/>
      <c r="H5" s="93"/>
      <c r="I5" s="93"/>
      <c r="J5" s="86" t="s">
        <v>217</v>
      </c>
      <c r="K5" s="86"/>
      <c r="L5" s="87" t="s">
        <v>216</v>
      </c>
      <c r="M5" s="87"/>
    </row>
    <row r="6" spans="1:13" x14ac:dyDescent="0.25">
      <c r="A6" s="2" t="s">
        <v>33</v>
      </c>
      <c r="B6" s="36"/>
      <c r="C6" s="36"/>
      <c r="D6" s="36"/>
      <c r="E6" s="36"/>
      <c r="F6" s="93"/>
      <c r="G6" s="93"/>
      <c r="H6" s="93"/>
      <c r="I6" s="93"/>
      <c r="J6" s="86" t="s">
        <v>218</v>
      </c>
      <c r="K6" s="86"/>
      <c r="L6" s="87" t="s">
        <v>219</v>
      </c>
      <c r="M6" s="87"/>
    </row>
    <row r="7" spans="1:13" x14ac:dyDescent="0.25">
      <c r="A7" s="2" t="s">
        <v>34</v>
      </c>
      <c r="B7" s="36"/>
      <c r="C7" s="36"/>
      <c r="D7" s="88"/>
      <c r="E7" s="88"/>
      <c r="F7" s="93"/>
      <c r="G7" s="93"/>
      <c r="H7" s="92"/>
      <c r="I7" s="92"/>
      <c r="J7" s="86" t="s">
        <v>220</v>
      </c>
      <c r="K7" s="86"/>
      <c r="L7" s="89" t="s">
        <v>219</v>
      </c>
      <c r="M7" s="89" t="s">
        <v>221</v>
      </c>
    </row>
    <row r="8" spans="1:13" x14ac:dyDescent="0.25">
      <c r="A8" s="2" t="s">
        <v>35</v>
      </c>
      <c r="B8" s="36"/>
      <c r="C8" s="36"/>
      <c r="D8" s="36"/>
      <c r="E8" s="36"/>
      <c r="F8" s="93"/>
      <c r="G8" s="93"/>
      <c r="H8" s="93"/>
      <c r="I8" s="93"/>
      <c r="J8" s="86" t="s">
        <v>222</v>
      </c>
      <c r="K8" s="86"/>
      <c r="L8" s="87" t="s">
        <v>221</v>
      </c>
      <c r="M8" s="87"/>
    </row>
    <row r="9" spans="1:13" x14ac:dyDescent="0.25">
      <c r="A9" s="2" t="s">
        <v>36</v>
      </c>
      <c r="B9" s="36"/>
      <c r="C9" s="36"/>
      <c r="D9" s="36"/>
      <c r="E9" s="36"/>
      <c r="F9" s="93"/>
      <c r="G9" s="93"/>
      <c r="H9" s="93"/>
      <c r="I9" s="93"/>
      <c r="J9" s="86" t="s">
        <v>223</v>
      </c>
      <c r="K9" s="86"/>
      <c r="L9" s="87" t="s">
        <v>222</v>
      </c>
      <c r="M9" s="87"/>
    </row>
    <row r="10" spans="1:13" x14ac:dyDescent="0.25">
      <c r="A10" s="2" t="s">
        <v>37</v>
      </c>
      <c r="B10" s="36"/>
      <c r="C10" s="36"/>
      <c r="D10" s="88"/>
      <c r="E10" s="96" t="s">
        <v>225</v>
      </c>
      <c r="F10" s="102"/>
      <c r="G10" s="97"/>
      <c r="H10" s="92"/>
      <c r="I10" s="99" t="s">
        <v>226</v>
      </c>
      <c r="J10" s="100"/>
      <c r="K10" s="101"/>
      <c r="L10" s="89" t="s">
        <v>222</v>
      </c>
      <c r="M10" s="88"/>
    </row>
    <row r="12" spans="1:13" x14ac:dyDescent="0.25">
      <c r="A12" s="90" t="s">
        <v>224</v>
      </c>
    </row>
    <row r="13" spans="1:13" x14ac:dyDescent="0.25">
      <c r="A13" s="91" t="s">
        <v>207</v>
      </c>
    </row>
    <row r="14" spans="1:13" x14ac:dyDescent="0.25">
      <c r="A14" s="98" t="s">
        <v>227</v>
      </c>
      <c r="B14" s="98"/>
    </row>
  </sheetData>
  <mergeCells count="14">
    <mergeCell ref="L8:M8"/>
    <mergeCell ref="J9:K9"/>
    <mergeCell ref="L9:M9"/>
    <mergeCell ref="I10:K10"/>
    <mergeCell ref="E10:G10"/>
    <mergeCell ref="L3:M3"/>
    <mergeCell ref="J4:K4"/>
    <mergeCell ref="J5:K5"/>
    <mergeCell ref="L5:M5"/>
    <mergeCell ref="J6:K6"/>
    <mergeCell ref="L6:M6"/>
    <mergeCell ref="J3:K3"/>
    <mergeCell ref="J7:K7"/>
    <mergeCell ref="J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Results Analysis - QCs</vt:lpstr>
      <vt:lpstr>Results Analysis - Combined</vt:lpstr>
      <vt:lpstr>Results Analysis</vt:lpstr>
      <vt:lpstr>Plate Layout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 Lab Local user</dc:creator>
  <cp:lastModifiedBy>Celeste Felion</cp:lastModifiedBy>
  <dcterms:created xsi:type="dcterms:W3CDTF">2020-12-17T11:38:42Z</dcterms:created>
  <dcterms:modified xsi:type="dcterms:W3CDTF">2025-06-18T14:42:34Z</dcterms:modified>
</cp:coreProperties>
</file>